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255" windowHeight="9465" activeTab="0"/>
  </bookViews>
  <sheets>
    <sheet name="Synthèse" sheetId="1" r:id="rId1"/>
    <sheet name="Graphique" sheetId="2" r:id="rId2"/>
    <sheet name="Modèle" sheetId="3" r:id="rId3"/>
    <sheet name="1. Modèles intermédiaires" sheetId="4" r:id="rId4"/>
    <sheet name="1.1. Calcul de la retraite" sheetId="5" r:id="rId5"/>
    <sheet name="1.2. Impôts" sheetId="6" r:id="rId6"/>
    <sheet name="2. Données Sources" sheetId="7" r:id="rId7"/>
    <sheet name="Espérance de vie INSEE" sheetId="8" r:id="rId8"/>
    <sheet name="Salaire moyen Homme INSEE" sheetId="9" r:id="rId9"/>
    <sheet name="Salaire moyen Check INSEE" sheetId="10" r:id="rId10"/>
    <sheet name="Taux d'épargne moyen INSEE" sheetId="11" r:id="rId11"/>
    <sheet name="Données impôts et taxes" sheetId="12" r:id="rId12"/>
  </sheets>
  <externalReferences>
    <externalReference r:id="rId15"/>
  </externalReferences>
  <definedNames>
    <definedName name="chiffre" localSheetId="9">'Salaire moyen Check INSEE'!$B$4:$D$26</definedName>
    <definedName name="chiffre" localSheetId="10">'Taux d''épargne moyen INSEE'!$B$54:$D$54,'Taux d''épargne moyen INSEE'!$B$59:$D$59,'Taux d''épargne moyen INSEE'!$B$64:$D$66</definedName>
    <definedName name="donnee" localSheetId="9">'Salaire moyen Check INSEE'!$A$3:$D$26</definedName>
    <definedName name="donnee">'[1]France'!$A$3:$K$25</definedName>
    <definedName name="entete_colonne" localSheetId="9">'Salaire moyen Check INSEE'!$A$3:$D$3</definedName>
    <definedName name="entete_colonne" localSheetId="10">'Taux d''épargne moyen INSEE'!$A$3:$D$3</definedName>
    <definedName name="entete_ligne" localSheetId="9">'Salaire moyen Check INSEE'!$A$4:$A$26</definedName>
    <definedName name="entete_ligne" localSheetId="10">'Taux d''épargne moyen INSEE'!$A$54,'Taux d''épargne moyen INSEE'!$A$59,'Taux d''épargne moyen INSEE'!$A$64:$A$66</definedName>
    <definedName name="note" localSheetId="9">'Salaire moyen Check INSEE'!$A$27:$A$28</definedName>
    <definedName name="note" localSheetId="10">'Taux d''épargne moyen INSEE'!$A$67:$A$71</definedName>
    <definedName name="note">'[1]France'!$A$26:$A$27</definedName>
    <definedName name="_xlnm.Print_Area" localSheetId="7">'Espérance de vie INSEE'!$A$1:$K$75</definedName>
    <definedName name="_xlnm.Print_Area" localSheetId="9">'Salaire moyen Check INSEE'!$A$1:$G$30</definedName>
    <definedName name="source" localSheetId="9">'Salaire moyen Check INSEE'!$A$29</definedName>
    <definedName name="source" localSheetId="10">'Taux d''épargne moyen INSEE'!$A$72</definedName>
    <definedName name="source">'[1]France'!$A$28</definedName>
    <definedName name="titre" localSheetId="9">'Salaire moyen Check INSEE'!$A$1</definedName>
    <definedName name="titre" localSheetId="10">'Taux d''épargne moyen INSEE'!$A$1</definedName>
    <definedName name="total" localSheetId="10">'Taux d''épargne moyen INSEE'!$A$54,'Taux d''épargne moyen INSEE'!$A$59,'Taux d''épargne moyen INSEE'!$A$64:$A$66</definedName>
    <definedName name="unite" localSheetId="9">'Salaire moyen Check INSEE'!$D$2</definedName>
    <definedName name="unite">'Salaire moyen Check INSEE'!$D$2</definedName>
  </definedNames>
  <calcPr fullCalcOnLoad="1" iterate="1" iterateCount="4" iterateDelta="0.001"/>
</workbook>
</file>

<file path=xl/comments9.xml><?xml version="1.0" encoding="utf-8"?>
<comments xmlns="http://schemas.openxmlformats.org/spreadsheetml/2006/main">
  <authors>
    <author>INSEE</author>
  </authors>
  <commentList>
    <comment ref="A7" authorId="0">
      <text>
        <r>
          <rPr>
            <sz val="10"/>
            <rFont val="Tahoma"/>
            <family val="2"/>
          </rPr>
          <t>Age du salarié</t>
        </r>
      </text>
    </comment>
    <comment ref="A6" authorId="0">
      <text>
        <r>
          <rPr>
            <sz val="10"/>
            <rFont val="Tahoma"/>
            <family val="2"/>
          </rPr>
          <t>Catégorie socioprofessionnelle</t>
        </r>
      </text>
    </comment>
    <comment ref="H5" authorId="0">
      <text>
        <r>
          <rPr>
            <sz val="10"/>
            <rFont val="Tahoma"/>
            <family val="2"/>
          </rPr>
          <t>Nombre total d'heures salariées dans l'année.</t>
        </r>
      </text>
    </comment>
    <comment ref="B5" authorId="0">
      <text>
        <r>
          <rPr>
            <sz val="10"/>
            <rFont val="Tahoma"/>
            <family val="2"/>
          </rPr>
          <t>Le salaire brut horaire moyen est défini comme le quotient de la masse des salaires bruts 
par le volume d'heures effectuées.
Il permet de comparer les salariés à temps complet aux autres salariés.</t>
        </r>
      </text>
    </comment>
  </commentList>
</comments>
</file>

<file path=xl/sharedStrings.xml><?xml version="1.0" encoding="utf-8"?>
<sst xmlns="http://schemas.openxmlformats.org/spreadsheetml/2006/main" count="428" uniqueCount="337">
  <si>
    <t>Evénement</t>
  </si>
  <si>
    <t>Âge</t>
  </si>
  <si>
    <t>Revenu net</t>
  </si>
  <si>
    <t>Revenu brut</t>
  </si>
  <si>
    <t>Salaire brut chargé</t>
  </si>
  <si>
    <t>Salaire net</t>
  </si>
  <si>
    <t xml:space="preserve">Salaire brut </t>
  </si>
  <si>
    <t>Soit touché par l'individu</t>
  </si>
  <si>
    <t>Soit touché par l'Etat</t>
  </si>
  <si>
    <t>Epargne</t>
  </si>
  <si>
    <t>Consommation</t>
  </si>
  <si>
    <t>Taxes habitation</t>
  </si>
  <si>
    <t>Droits de succession</t>
  </si>
  <si>
    <t>4. Principaux impôts et taxes</t>
  </si>
  <si>
    <t>Source : Insee, statistiques de l'état civil et estimations de population</t>
  </si>
  <si>
    <t xml:space="preserve">Champ : France métropolitaine </t>
  </si>
  <si>
    <t xml:space="preserve">(p) résultats provisoires arrêtés à fin 2012 </t>
  </si>
  <si>
    <t>2012 (p)</t>
  </si>
  <si>
    <t>2011 (p)</t>
  </si>
  <si>
    <t>2010 (p)</t>
  </si>
  <si>
    <t>à 60 ans</t>
  </si>
  <si>
    <t>à 40 ans</t>
  </si>
  <si>
    <t>à 20 ans</t>
  </si>
  <si>
    <t>à 1 an</t>
  </si>
  <si>
    <t>à 0 an</t>
  </si>
  <si>
    <t>Espérance de vie des femmes</t>
  </si>
  <si>
    <t>Espérance de vie des hommes</t>
  </si>
  <si>
    <t>Année</t>
  </si>
  <si>
    <t>en années</t>
  </si>
  <si>
    <t xml:space="preserve">Évolution de l'espérance de vie à divers âges, France Métropolitaine </t>
  </si>
  <si>
    <t>Source : Insee, DADS 2009.</t>
  </si>
  <si>
    <t>- France entière y compris DOM.</t>
  </si>
  <si>
    <t>- ensemble des activités hors administration publique, services domestiques et activités extraterritoriales ;</t>
  </si>
  <si>
    <t>- salariés, hors apprentis, stagiaires, chefs d'entreprise ;</t>
  </si>
  <si>
    <t>Champ :</t>
  </si>
  <si>
    <t>Note : est considéré à temps complet, un salarié travaillant, sur sa période d'activité, au delà d'un nombre d'heures par jour propre à chaque secteur d'activité. Ce temps quotidien s'élève en moyenne autour de 6 heures.</t>
  </si>
  <si>
    <t>+ 65 ans</t>
  </si>
  <si>
    <t>De 61 à 65 ans</t>
  </si>
  <si>
    <t>De 56 à 60 ans</t>
  </si>
  <si>
    <t>De 51 à 55 ans</t>
  </si>
  <si>
    <t>De 46 à 50 ans</t>
  </si>
  <si>
    <t>De 41 à 45 ans</t>
  </si>
  <si>
    <t>De 36 à 40 ans</t>
  </si>
  <si>
    <t>De 31 à 35 ans</t>
  </si>
  <si>
    <t>De 26 à 30 ans</t>
  </si>
  <si>
    <t>De 21 à 25 ans</t>
  </si>
  <si>
    <t>De 18 à 20 ans</t>
  </si>
  <si>
    <t>Moins de 18 ans ou âge inconnu</t>
  </si>
  <si>
    <t>Ensemble</t>
  </si>
  <si>
    <t>TRAGE_12</t>
  </si>
  <si>
    <t>Ouvriers non qualifiés</t>
  </si>
  <si>
    <t>Ouvriers qualifiés</t>
  </si>
  <si>
    <t>Employés</t>
  </si>
  <si>
    <t>Professions intermédiaires</t>
  </si>
  <si>
    <t>Cadres et professions intellectuelles supérieures</t>
  </si>
  <si>
    <t>CS1</t>
  </si>
  <si>
    <t>Nombre d'heures salariées (en milliers)</t>
  </si>
  <si>
    <t>Salaire brut horaire moyen (€)</t>
  </si>
  <si>
    <t>INDICATEURS</t>
  </si>
  <si>
    <t>SEXE : Homme</t>
  </si>
  <si>
    <t>CE : Temps complet</t>
  </si>
  <si>
    <t>T101 - Salaire brut horaire, par âge et catégorie socioprofessionnelle simplifiée</t>
  </si>
  <si>
    <t>Revenu salarial moyen et décomposition sur l'ensemble du champ salarié en 2010</t>
  </si>
  <si>
    <t>en euros courants</t>
  </si>
  <si>
    <t>Revenu salarial</t>
  </si>
  <si>
    <t>Salaire journalier</t>
  </si>
  <si>
    <t>Jours rémunérés</t>
  </si>
  <si>
    <t>Hommes</t>
  </si>
  <si>
    <t>Femmes</t>
  </si>
  <si>
    <t>Moins de 25 ans</t>
  </si>
  <si>
    <t>De 25 à 39 ans</t>
  </si>
  <si>
    <t>De 40 à 49 ans</t>
  </si>
  <si>
    <t>De 50 à 54 ans</t>
  </si>
  <si>
    <t>55 ans ou plus</t>
  </si>
  <si>
    <t>Cadres</t>
  </si>
  <si>
    <t>Ouvriers</t>
  </si>
  <si>
    <t>Temps complet</t>
  </si>
  <si>
    <t>Temps non complet</t>
  </si>
  <si>
    <t>Secteur privé uniquement</t>
  </si>
  <si>
    <t>Agents de l'Etat uniquement</t>
  </si>
  <si>
    <t>Collectivités Terrritoriales uniquement</t>
  </si>
  <si>
    <t>Fonction publique hospitalière uniquement</t>
  </si>
  <si>
    <t>Note : Le revenu salarial peut être décomposé comme le produit d'un salaire journalier par un nombre de jours rémunérés.</t>
  </si>
  <si>
    <t>Champ : France métropolitaine, ensemble des salariés des secteurs public et privé, y compris chefs d'entreprises salariés, hors salariés agricoles et apprentis-stagiaires.</t>
  </si>
  <si>
    <t>Source : Insee, DADS 2010 définitif et SIASP, exploitation au 1/12ème.</t>
  </si>
  <si>
    <t>Heures par jour</t>
  </si>
  <si>
    <t>Nombre de jours</t>
  </si>
  <si>
    <t>Salaire de départ</t>
  </si>
  <si>
    <t>Soit par mois (brut)</t>
  </si>
  <si>
    <t>Soit par mois (net)</t>
  </si>
  <si>
    <t>Inflation</t>
  </si>
  <si>
    <t>Entrée sur le marché du travail</t>
  </si>
  <si>
    <t>Passe agent de maîtrise</t>
  </si>
  <si>
    <t>Hausse salariale particulière</t>
  </si>
  <si>
    <t>Expérience professionnelle</t>
  </si>
  <si>
    <t>Net sur brut :</t>
  </si>
  <si>
    <t>Chargé sur brut :</t>
  </si>
  <si>
    <t>Retraite</t>
  </si>
  <si>
    <t>Nombre d'années pris en compte comme base de calcul</t>
  </si>
  <si>
    <t>Limite du revenu pris en compte</t>
  </si>
  <si>
    <t>Taux pris en compte</t>
  </si>
  <si>
    <t>Minimum de trimestres</t>
  </si>
  <si>
    <t>Retraite nette</t>
  </si>
  <si>
    <t>Hypothèses</t>
  </si>
  <si>
    <t>Soit pris en compte en réalité (moyenne annuelle)</t>
  </si>
  <si>
    <t>Nb d'années travaillées</t>
  </si>
  <si>
    <t>Soit nombre de trimestres</t>
  </si>
  <si>
    <t>Taux appliqué</t>
  </si>
  <si>
    <t>Pension obtenue</t>
  </si>
  <si>
    <t>Taux d'épargne des ménages en 2012</t>
  </si>
  <si>
    <t>Taux d'épargne (1)</t>
  </si>
  <si>
    <t>Taux d'épargne financière (2)</t>
  </si>
  <si>
    <r>
      <t>Taux d'investissement en logement (3</t>
    </r>
    <r>
      <rPr>
        <b/>
        <sz val="10"/>
        <rFont val="Arial"/>
        <family val="2"/>
      </rPr>
      <t>)</t>
    </r>
  </si>
  <si>
    <t>2011 (r)</t>
  </si>
  <si>
    <t>r : données révisées.</t>
  </si>
  <si>
    <t>(1) : rapport entre l'épargne des ménages et le revenu disponible brut.</t>
  </si>
  <si>
    <t>(2) : rapport entre la capacité de financement des ménages et le revenu disponible brut.</t>
  </si>
  <si>
    <t>(3) : rapport de la formation brute de capital fixe des ménages (hors entrepreneurs individuels) au revenu disponible brut.</t>
  </si>
  <si>
    <t>Champ : France.</t>
  </si>
  <si>
    <t xml:space="preserve">Source : Insee, comptes nationaux - base 2005. </t>
  </si>
  <si>
    <t>IR</t>
  </si>
  <si>
    <t>Revenu disponible brut</t>
  </si>
  <si>
    <t>Taux d'épargne sur RDB :</t>
  </si>
  <si>
    <t>Consommation sur RDB :</t>
  </si>
  <si>
    <t>Taux global CSG</t>
  </si>
  <si>
    <t>Taux CSG déductible de l'impôt sur le revenu</t>
  </si>
  <si>
    <t>Taux CRDS</t>
  </si>
  <si>
    <t>Assiette</t>
  </si>
  <si>
    <t>Revenus d'activité salariée</t>
  </si>
  <si>
    <t>98,25 % du revenu brut si le montant ne dépasse pas 4 fois le plafond annuel de la sécurité sociale - 100 % au delà</t>
  </si>
  <si>
    <t>Accessoires du salaire (par exemple sommes allouées au titre de l'intéressement)</t>
  </si>
  <si>
    <t>100 % du revenu brut</t>
  </si>
  <si>
    <t>Allocations chômage</t>
  </si>
  <si>
    <t>(y compris en cas de chômage partiel et congé de reclassement)</t>
  </si>
  <si>
    <t>6,2 %(ou 3,8 % dans certains cas)</t>
  </si>
  <si>
    <t>Pensions de retraite, d'invalidité</t>
  </si>
  <si>
    <t>6,6 %(ou 3,8 % si faibles revenus)</t>
  </si>
  <si>
    <t>Allocations de préretraite</t>
  </si>
  <si>
    <t>7,5 %(ou 3,8 % si faibles revenus)</t>
  </si>
  <si>
    <t>100 % de l'allocation brute</t>
  </si>
  <si>
    <t>Allocations de préretraite (si la préretraite ou la cessation anticipée d'activité a pris effet avant le 11 octobre 2007 )</t>
  </si>
  <si>
    <t>Indemnités journalières de sécurité sociale (IJSS)</t>
  </si>
  <si>
    <t>100 % des IJSS brutes</t>
  </si>
  <si>
    <t>Nature des revenus</t>
  </si>
  <si>
    <t>Source : http://vosdroits.service-public.fr/particuliers/F2971.xhtml</t>
  </si>
  <si>
    <t>Période</t>
  </si>
  <si>
    <t>36 372 €</t>
  </si>
  <si>
    <t>37 032 €</t>
  </si>
  <si>
    <t>Trimestre</t>
  </si>
  <si>
    <t>9 093 €</t>
  </si>
  <si>
    <t>9 258 €</t>
  </si>
  <si>
    <t>Mois</t>
  </si>
  <si>
    <t>3 031 €</t>
  </si>
  <si>
    <t>3 086 €</t>
  </si>
  <si>
    <t>Semaine</t>
  </si>
  <si>
    <t>699 €</t>
  </si>
  <si>
    <t>712 €</t>
  </si>
  <si>
    <t>Jour</t>
  </si>
  <si>
    <t>167 €</t>
  </si>
  <si>
    <t>170 €</t>
  </si>
  <si>
    <t>Plafond sécurité sociale</t>
  </si>
  <si>
    <t>1. CSG et CRDS</t>
  </si>
  <si>
    <t>2. IR</t>
  </si>
  <si>
    <t>0 % jusqu’à 5 963 euros,</t>
  </si>
  <si>
    <t>5,5 % de 5 964 euros à 11 896 euros,</t>
  </si>
  <si>
    <t>14 % de 11 897 euros à 26 420 euros,</t>
  </si>
  <si>
    <t>30 % de 26 421 euros à 70 830 euros,</t>
  </si>
  <si>
    <t>41 % de 70 831 euros à 149 999 euros,</t>
  </si>
  <si>
    <t>45 % à partir de 150 000 euros.</t>
  </si>
  <si>
    <t>Source : http://www.service-public.fr/actualites/00441.html</t>
  </si>
  <si>
    <t>Tranche 1</t>
  </si>
  <si>
    <t>Tranche 2</t>
  </si>
  <si>
    <t>Tranche 3</t>
  </si>
  <si>
    <t>Tranche 4</t>
  </si>
  <si>
    <t>Tranche 5</t>
  </si>
  <si>
    <t>Tranche 6</t>
  </si>
  <si>
    <t>Part du revenu brut prise en compte</t>
  </si>
  <si>
    <t>Taux applicable de la CSG</t>
  </si>
  <si>
    <t>Taux applicable de la CRDS</t>
  </si>
  <si>
    <t xml:space="preserve">Revenu brut pris en compte </t>
  </si>
  <si>
    <t>CSG calculée</t>
  </si>
  <si>
    <t>CRDS calculée</t>
  </si>
  <si>
    <t>Maximum</t>
  </si>
  <si>
    <t>1.1. Salaire</t>
  </si>
  <si>
    <t>1.2. Retraite</t>
  </si>
  <si>
    <t>Impôt du théorique</t>
  </si>
  <si>
    <t>Impôt du réel</t>
  </si>
  <si>
    <t>CSG déduite</t>
  </si>
  <si>
    <t>Taux de CSG à déduire de l'IR</t>
  </si>
  <si>
    <t>CSG à déduire de l'IR</t>
  </si>
  <si>
    <t>Part de la retraite prise en compte</t>
  </si>
  <si>
    <t>CSG</t>
  </si>
  <si>
    <t>CRDS</t>
  </si>
  <si>
    <t>Pour toutes les opérations imposables, la TVA est calculée sur le prix hors taxe qui doit être reçu en contrepartie du bien livré ou du service rendu.</t>
  </si>
  <si>
    <t>Le montant de la TVA calculé sur ce prix dépend du taux applicable à l'opération réalisée. Actuellement, quatre taux principaux existent :</t>
  </si>
  <si>
    <t>Source : http://www.impots.gouv.fr/portal/dgi/public/popup;jsessionid=UFV4GAOYHEO1TQFIEIPSFFQ?typePage=cpr02&amp;sfid=501&amp;espId=2&amp;communaute=2&amp;impot=TVA&amp;temNvlPopUp=true</t>
  </si>
  <si>
    <t>Taux applicable</t>
  </si>
  <si>
    <t>Part de la consommation</t>
  </si>
  <si>
    <t>Taux pondéré de TVA applicable</t>
  </si>
  <si>
    <t>Taux de TVA pondéré</t>
  </si>
  <si>
    <t>TVA payée</t>
  </si>
  <si>
    <t>Accumulation K</t>
  </si>
  <si>
    <t>Dont placement bancaire</t>
  </si>
  <si>
    <t>Dont placement immobilier</t>
  </si>
  <si>
    <t>Rendement immobilier locatif</t>
  </si>
  <si>
    <t> CRDS (contribution pour le remboursement de la dette sociale) : 0,5 % </t>
  </si>
  <si>
    <t> CSG (contribution sociale généralisée) : 8,2 % </t>
  </si>
  <si>
    <t> Prélèvement social + contributions additionnelles : 5.4 % + 1.4%</t>
  </si>
  <si>
    <t>Source : http://www.francetransactions.com/impots/Prelevements-sociaux.html</t>
  </si>
  <si>
    <t> Plafond du LDD : 12 000 €uros (depuis le 1er octobre 2012), </t>
  </si>
  <si>
    <t> Taux de rémunération LDD : 1,25% à partir de août 2013 (2,25% sur janvier 2013, 1,75% de février à juillet), </t>
  </si>
  <si>
    <t> Fiscalité du LDD : Net d’impôts (non fiscalisé).</t>
  </si>
  <si>
    <t>Montant max placé sur livrets nets d'impôt</t>
  </si>
  <si>
    <t>Livret A</t>
  </si>
  <si>
    <t>Livret DD</t>
  </si>
  <si>
    <t>Livret EP</t>
  </si>
  <si>
    <t>Montant investi</t>
  </si>
  <si>
    <t>Rendement</t>
  </si>
  <si>
    <t>Placement bancaire non fiscalisé</t>
  </si>
  <si>
    <t>Placement bancaire fiscalisé</t>
  </si>
  <si>
    <t>Rendement livrets non fiscalisé</t>
  </si>
  <si>
    <t>Montant max placé sur livrets non fisc.</t>
  </si>
  <si>
    <t>Rendement d'un placement fiscalisé</t>
  </si>
  <si>
    <t>Plafond placement non fiscalisé</t>
  </si>
  <si>
    <t>Rendement livret non fiscalisé</t>
  </si>
  <si>
    <t>Rendement placement fiscalisé</t>
  </si>
  <si>
    <t>Rendement immobilier</t>
  </si>
  <si>
    <t>Prélèvements sociaux etc</t>
  </si>
  <si>
    <t>CSG due sur placement fiscalisé</t>
  </si>
  <si>
    <t>PS du sur placement fiscalisé</t>
  </si>
  <si>
    <t>CRDS due sur placement fiscalisé</t>
  </si>
  <si>
    <t>Prélèvements sociaux etc.</t>
  </si>
  <si>
    <t>Placement immobilier</t>
  </si>
  <si>
    <t>6. Hypothèses macro-économiques</t>
  </si>
  <si>
    <t>7. Hypothèses particulières</t>
  </si>
  <si>
    <t>6. Droits de succession</t>
  </si>
  <si>
    <t>Montant taxable après abattement</t>
  </si>
  <si>
    <t>Taux par tranche de part taxable</t>
  </si>
  <si>
    <t>Source : http://vosdroits.service-public.fr/particuliers/F456.xhtml</t>
  </si>
  <si>
    <t>Tranche 7</t>
  </si>
  <si>
    <t>Patrimoine</t>
  </si>
  <si>
    <t>Abattement</t>
  </si>
  <si>
    <t>Patrimoine après abattement</t>
  </si>
  <si>
    <t>Droits de succession dûs</t>
  </si>
  <si>
    <t>Âge de la mort</t>
  </si>
  <si>
    <t>0. Vie</t>
  </si>
  <si>
    <t>1. Salaire ou retraite</t>
  </si>
  <si>
    <t>3. Epargne et revenus liés à l'épargne</t>
  </si>
  <si>
    <t>2. Structure de consommation et d'épargne</t>
  </si>
  <si>
    <t>3.1. Epargne accumulée et placement</t>
  </si>
  <si>
    <t>3.2. Revenus liés à l'épargne</t>
  </si>
  <si>
    <t>4.1. Impôts et taxes payés sur le revenu du travail</t>
  </si>
  <si>
    <t>4.2. Impôts et taxes payés sur l'épargne</t>
  </si>
  <si>
    <t>4.3. Taxes sur la consommation</t>
  </si>
  <si>
    <t>4.4. Autres impôts et taxes</t>
  </si>
  <si>
    <t>4.0. Rappel des prélèvements à la source sur le revenu du travail</t>
  </si>
  <si>
    <t>Charges patronales et salariales</t>
  </si>
  <si>
    <t>Charges patronales</t>
  </si>
  <si>
    <t>Charges salariales</t>
  </si>
  <si>
    <t>Objectif</t>
  </si>
  <si>
    <t>Rapporté à l'Etat total</t>
  </si>
  <si>
    <t>Sur la période</t>
  </si>
  <si>
    <t>Soit, pour 1 €  gagné par l'individu, en € pour l'Etat (tout) :</t>
  </si>
  <si>
    <t>Soit, pour 1 €  gagné par l'individu, en € pour l'Etat (hors CP) :</t>
  </si>
  <si>
    <t>SYNTHESE</t>
  </si>
  <si>
    <t>Calculer, pour un individu français moyen, ce qu'il touche pour lui et rapporte à l'Etat au cours de sa vie active (entrée dans le monde du travail jusqu'à mort)</t>
  </si>
  <si>
    <t xml:space="preserve">Individu commençant à travailler à l'âge moyen, mourant à l'âge moyen, commençant comme employé avec un salaire moyen puis passant agent de maîtrise au bout de 10 ans et cadre au bout de 30 ans. 
Evolution salariale hors changement de statut liée à l'inflation, tous barêmes d'impôts égaux à aujourd'hui avec des bases d'imposition suivant l'inflation. </t>
  </si>
  <si>
    <t>1. Variables</t>
  </si>
  <si>
    <t>2. Application</t>
  </si>
  <si>
    <t>Salaire annuel brut maximum pris en compte</t>
  </si>
  <si>
    <t>Salaire brut</t>
  </si>
  <si>
    <t>Pris en compte pour le calcul de la retraite</t>
  </si>
  <si>
    <t>Au-dessus du plafond en fin de période</t>
  </si>
  <si>
    <t>Soit pris en compte en réalité (total meilleurs 25 ans)</t>
  </si>
  <si>
    <t>Classement des années</t>
  </si>
  <si>
    <t>Hors scope</t>
  </si>
  <si>
    <t xml:space="preserve">         Dont charges patronales</t>
  </si>
  <si>
    <r>
      <t>Taux des prélèvements sociaux en 2013 : 15,50 % dûs sur les intérêts de vos placements (hors Livret A, LDD, Livret jeune et LEP), décomposition</t>
    </r>
    <r>
      <rPr>
        <sz val="11"/>
        <color theme="1"/>
        <rFont val="Calibri"/>
        <family val="2"/>
      </rPr>
      <t> :</t>
    </r>
  </si>
  <si>
    <r>
      <t>le taux réduit de 7 %</t>
    </r>
    <r>
      <rPr>
        <sz val="11"/>
        <color indexed="8"/>
        <rFont val="Calibri"/>
        <family val="2"/>
      </rPr>
      <t> (créé par l’article 13 de la loi de finances rectificative n° 2011-1978 du 28 décembre 2011) applicable aux biens et prestations de services qui relevaient du taux de 5,5 % avant le 1er janvier 2012 à l’exception de certains biens et services limitativement énumérés par l’article 278-0 bis du CGI. A compter du 1er janvier 2014, ce taux réduit sera porté à 10 % (application aux opérations dont le fait générateur interviendra à compter du 1er janvier 2014. Toutefois, il ne s’appliquera pas aux encaissements pour lesquels la TVA est exigible avant cette date, qui resteront soumis au taux de 7 %) ;</t>
    </r>
  </si>
  <si>
    <r>
      <t>le </t>
    </r>
    <r>
      <rPr>
        <b/>
        <sz val="11"/>
        <color indexed="8"/>
        <rFont val="Calibri"/>
        <family val="2"/>
      </rPr>
      <t>taux réduit de 5,5 %</t>
    </r>
    <r>
      <rPr>
        <sz val="11"/>
        <color indexed="8"/>
        <rFont val="Calibri"/>
        <family val="2"/>
      </rPr>
      <t> applicable aux biens et prestations de services énumérés à l’article 278-0 bis du CGI (produits alimentaires, équipements et services pour handicapés, abonnements relatifs aux livraisons de gaz et d’électricité, fourniture de repas dans les cantines scolaires par des prestataires extérieurs dans les établissements publics ou privés d’enseignement du premier et second degré, fourniture par réseau de chaleur produite à partir d’énergies renouvelables). A compter du 1er janvier 2014, ce taux réduit sera ramené à 5 % (applicable aux opérations pour lesquelles la TVA est exigible à compter du 1er janvier 2014) ;</t>
    </r>
  </si>
  <si>
    <r>
      <t>le </t>
    </r>
    <r>
      <rPr>
        <b/>
        <sz val="11"/>
        <color indexed="8"/>
        <rFont val="Calibri"/>
        <family val="2"/>
      </rPr>
      <t>taux particulier de 2,1 %</t>
    </r>
    <r>
      <rPr>
        <sz val="11"/>
        <color indexed="8"/>
        <rFont val="Calibri"/>
        <family val="2"/>
      </rPr>
      <t> réservé aux médicaments remboursables par la sécurité sociale, aux ventes d’animaux vivants de boucherie et de charcuterie à des non assujettis, à la contribution à l'audiovisuel public, à certains spectacles et aux publications de presse inscrites à la Commission paritaire des publications et agences de presse.</t>
    </r>
  </si>
  <si>
    <t>Imposition IR</t>
  </si>
  <si>
    <t>Tranche</t>
  </si>
  <si>
    <r>
      <t>le</t>
    </r>
    <r>
      <rPr>
        <b/>
        <sz val="11"/>
        <color indexed="8"/>
        <rFont val="Calibri"/>
        <family val="2"/>
      </rPr>
      <t> taux normal de 19,6 %</t>
    </r>
    <r>
      <rPr>
        <sz val="11"/>
        <color indexed="8"/>
        <rFont val="Calibri"/>
        <family val="2"/>
      </rPr>
      <t> qui concerne la majorité des ventes de biens et des prestations de services.  A compter du 1er janvier 2014 1 , ce taux normal sera porté à 20 % (application aux opérations dont le fait générateur interviendra à compter du 1er janvier 2014. Toutefois, il ne s’appliquera pas aux encaissements pour lesquels la TVA est exigible avant cette date, qui resteront soumis au taux de 19,6 %) ;</t>
    </r>
  </si>
  <si>
    <t>3. TVA</t>
  </si>
  <si>
    <t>4. Epargne</t>
  </si>
  <si>
    <r>
      <t>Moins de </t>
    </r>
    <r>
      <rPr>
        <b/>
        <sz val="11"/>
        <rFont val="Calibri"/>
        <family val="2"/>
      </rPr>
      <t>8.072 €</t>
    </r>
  </si>
  <si>
    <r>
      <t>Entre </t>
    </r>
    <r>
      <rPr>
        <b/>
        <sz val="11"/>
        <rFont val="Calibri"/>
        <family val="2"/>
      </rPr>
      <t>8.072 €</t>
    </r>
    <r>
      <rPr>
        <sz val="11"/>
        <rFont val="Calibri"/>
        <family val="2"/>
      </rPr>
      <t> et </t>
    </r>
    <r>
      <rPr>
        <b/>
        <sz val="11"/>
        <rFont val="Calibri"/>
        <family val="2"/>
      </rPr>
      <t>12.109 €</t>
    </r>
  </si>
  <si>
    <r>
      <t>Entre </t>
    </r>
    <r>
      <rPr>
        <b/>
        <sz val="11"/>
        <rFont val="Calibri"/>
        <family val="2"/>
      </rPr>
      <t>12.109 €</t>
    </r>
    <r>
      <rPr>
        <sz val="11"/>
        <rFont val="Calibri"/>
        <family val="2"/>
      </rPr>
      <t> et </t>
    </r>
    <r>
      <rPr>
        <b/>
        <sz val="11"/>
        <rFont val="Calibri"/>
        <family val="2"/>
      </rPr>
      <t>15.932 €</t>
    </r>
  </si>
  <si>
    <r>
      <t>Entre </t>
    </r>
    <r>
      <rPr>
        <b/>
        <sz val="11"/>
        <rFont val="Calibri"/>
        <family val="2"/>
      </rPr>
      <t>15.932 €</t>
    </r>
    <r>
      <rPr>
        <sz val="11"/>
        <rFont val="Calibri"/>
        <family val="2"/>
      </rPr>
      <t> et </t>
    </r>
    <r>
      <rPr>
        <b/>
        <sz val="11"/>
        <rFont val="Calibri"/>
        <family val="2"/>
      </rPr>
      <t>552.324 €</t>
    </r>
  </si>
  <si>
    <r>
      <t>Entre </t>
    </r>
    <r>
      <rPr>
        <b/>
        <sz val="11"/>
        <rFont val="Calibri"/>
        <family val="2"/>
      </rPr>
      <t>552.324 €</t>
    </r>
    <r>
      <rPr>
        <sz val="11"/>
        <rFont val="Calibri"/>
        <family val="2"/>
      </rPr>
      <t> et </t>
    </r>
    <r>
      <rPr>
        <b/>
        <sz val="11"/>
        <rFont val="Calibri"/>
        <family val="2"/>
      </rPr>
      <t>902.838 €</t>
    </r>
  </si>
  <si>
    <r>
      <t>Entre </t>
    </r>
    <r>
      <rPr>
        <b/>
        <sz val="11"/>
        <rFont val="Calibri"/>
        <family val="2"/>
      </rPr>
      <t>902.838 €</t>
    </r>
    <r>
      <rPr>
        <sz val="11"/>
        <rFont val="Calibri"/>
        <family val="2"/>
      </rPr>
      <t> et </t>
    </r>
    <r>
      <rPr>
        <b/>
        <sz val="11"/>
        <rFont val="Calibri"/>
        <family val="2"/>
      </rPr>
      <t>1.805.677 €</t>
    </r>
  </si>
  <si>
    <r>
      <t>Supérieure à </t>
    </r>
    <r>
      <rPr>
        <b/>
        <sz val="11"/>
        <rFont val="Calibri"/>
        <family val="2"/>
      </rPr>
      <t>1.805.677 €</t>
    </r>
  </si>
  <si>
    <t>Livrets non fiscalisés</t>
  </si>
  <si>
    <t>Plafond des dépôts</t>
  </si>
  <si>
    <t>Taux de rémunération</t>
  </si>
  <si>
    <t>Fiscalité</t>
  </si>
  <si>
    <t> Plafond des dépôts : 7 700 €(capitalisation des intérêts non incluse), </t>
  </si>
  <si>
    <t> Taux de rémunération : 1.75% NETS (Depuis le 01/08/2013), </t>
  </si>
  <si>
    <t> Fiscalité : Net d’impôts.</t>
  </si>
  <si>
    <t> Fiscalité : Net d’impôt sur les revenus.</t>
  </si>
  <si>
    <r>
      <t> Plafond des dépôts : 22 950 € à partir du 1</t>
    </r>
    <r>
      <rPr>
        <vertAlign val="superscript"/>
        <sz val="11"/>
        <color indexed="8"/>
        <rFont val="Calibri"/>
        <family val="2"/>
      </rPr>
      <t>er</t>
    </r>
    <r>
      <rPr>
        <sz val="11"/>
        <color indexed="8"/>
        <rFont val="Calibri"/>
        <family val="2"/>
      </rPr>
      <t> janvier 2013, </t>
    </r>
  </si>
  <si>
    <r>
      <t> Taux de rémunération : 1,25% à partir du 1</t>
    </r>
    <r>
      <rPr>
        <vertAlign val="superscript"/>
        <sz val="11"/>
        <color indexed="8"/>
        <rFont val="Calibri"/>
        <family val="2"/>
      </rPr>
      <t>er</t>
    </r>
    <r>
      <rPr>
        <sz val="11"/>
        <color indexed="8"/>
        <rFont val="Calibri"/>
        <family val="2"/>
      </rPr>
      <t> août 2013, 1,75% du 1er février au 31 juillet et 2,25% sur janvier 2013. </t>
    </r>
  </si>
  <si>
    <t>LIVRET ÉPARGNE POPULAIRE</t>
  </si>
  <si>
    <t>LIVRET A </t>
  </si>
  <si>
    <t>LDD</t>
  </si>
  <si>
    <t>2.1. Barême d'imposition</t>
  </si>
  <si>
    <t>2.2. Application à l'individu</t>
  </si>
  <si>
    <t>5.1. Barême applicable</t>
  </si>
  <si>
    <t>5.2. Application à l'individu</t>
  </si>
  <si>
    <t>5. Droits de succession</t>
  </si>
  <si>
    <t>Item</t>
  </si>
  <si>
    <t>Contribution</t>
  </si>
  <si>
    <t>Retraite brute</t>
  </si>
  <si>
    <t>Contient le modèle de calcul de la retraite de l'individu, et le modèle de calcul des impôts et taxes dûes</t>
  </si>
  <si>
    <t>Modèles intermédiaires</t>
  </si>
  <si>
    <t>Données sources</t>
  </si>
  <si>
    <t>Contient les données sources, en provenance de l'INSEE (caractéristiques de l'individu moyen) et des sites publics (Impôts, taxes et contributions diverses)</t>
  </si>
  <si>
    <t xml:space="preserve">         Dont imposition indirecte (TVA, Succession, Habitation)</t>
  </si>
  <si>
    <t xml:space="preserve">         Dont imposition directe (IR, CSG, CRDS et PS sur Epargne)</t>
  </si>
  <si>
    <t xml:space="preserve">         Dont imposition à la source (Charges salariales)</t>
  </si>
  <si>
    <t>Revenu net total (salaire et retraites nets et revenus d'épargne, avt impôt)</t>
  </si>
  <si>
    <t>Sur 1 € tombant sur le compte de l'individu, l'Etat prélève encore :</t>
  </si>
  <si>
    <t xml:space="preserve">Pour 1 € tombant sur le compte de l'individu, l'Etat a déjà prélevé : </t>
  </si>
  <si>
    <t>Résultat (1)</t>
  </si>
  <si>
    <t>Résultat (2)</t>
  </si>
  <si>
    <t>Ensemble des revenus généré par l'individu</t>
  </si>
  <si>
    <t xml:space="preserve">Revenu brut </t>
  </si>
  <si>
    <t xml:space="preserve">         - Charges salariales</t>
  </si>
  <si>
    <t xml:space="preserve">         - Charges patronales : </t>
  </si>
  <si>
    <t xml:space="preserve">         - Imposition visible (IR, Taxes sur les revenus d'épargne)</t>
  </si>
  <si>
    <t>Revenu net après IR</t>
  </si>
  <si>
    <t>Revenu restant à disposition de l'individu</t>
  </si>
  <si>
    <t xml:space="preserve">         - Imposition invisible (TVA, Habitation &amp; Succession)</t>
  </si>
  <si>
    <t>ILLUSTRATION GRAPHIQUE</t>
  </si>
  <si>
    <t xml:space="preserve">Illustrer, à partir des résultats précédents, la part d'imposition réelle vue par l'individu et ce qui est prélevé par l'Etat de manière plus ou moins invisible. </t>
  </si>
  <si>
    <t xml:space="preserve">Tous les revenus générés par l'individu sont pris en compte (coût brut chargé du salarié, coût brut de la retraite, rendement avant impôt de l'épargne). Le coût chargé du salarié est pris en compte pour témoigner du fait que sans l'intervention de l'Etat, ces sommes correspondraient à ce que l'entreprise est prête à payer à l'individu, soit son salaire.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</si>
</sst>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Red]\-#,##0\ &quot;€&quot;"/>
    <numFmt numFmtId="165" formatCode="#,##0.00\ &quot;€&quot;;[Red]\-#,##0.00\ &quot;€&quot;"/>
    <numFmt numFmtId="166" formatCode="_-* #,##0.00\ &quot;€&quot;_-;\-* #,##0.00\ &quot;€&quot;_-;_-* &quot;-&quot;??\ &quot;€&quot;_-;_-@_-"/>
    <numFmt numFmtId="167" formatCode="#,##0&quot; &quot;"/>
    <numFmt numFmtId="168" formatCode="#,##0.0&quot; &quot;"/>
    <numFmt numFmtId="169" formatCode="#,##0.0"/>
    <numFmt numFmtId="170" formatCode="0.0"/>
    <numFmt numFmtId="171" formatCode="0.0%"/>
    <numFmt numFmtId="172" formatCode="#,##0_ ;[Red]\-#,##0\ "/>
  </numFmts>
  <fonts count="64">
    <font>
      <sz val="11"/>
      <color theme="1"/>
      <name val="Calibri"/>
      <family val="2"/>
    </font>
    <font>
      <sz val="11"/>
      <color indexed="8"/>
      <name val="Calibri"/>
      <family val="2"/>
    </font>
    <font>
      <b/>
      <sz val="11"/>
      <color indexed="8"/>
      <name val="Calibri"/>
      <family val="2"/>
    </font>
    <font>
      <sz val="10"/>
      <name val="Arial"/>
      <family val="0"/>
    </font>
    <font>
      <i/>
      <sz val="10"/>
      <name val="Arial"/>
      <family val="2"/>
    </font>
    <font>
      <b/>
      <sz val="10"/>
      <name val="Arial"/>
      <family val="2"/>
    </font>
    <font>
      <sz val="10"/>
      <color indexed="8"/>
      <name val="Arial"/>
      <family val="2"/>
    </font>
    <font>
      <i/>
      <sz val="10"/>
      <color indexed="8"/>
      <name val="Arial"/>
      <family val="2"/>
    </font>
    <font>
      <b/>
      <sz val="12"/>
      <color indexed="8"/>
      <name val="Arial"/>
      <family val="2"/>
    </font>
    <font>
      <sz val="10"/>
      <name val="Tahoma"/>
      <family val="2"/>
    </font>
    <font>
      <sz val="10"/>
      <name val="MS Sans Serif"/>
      <family val="2"/>
    </font>
    <font>
      <b/>
      <sz val="10"/>
      <color indexed="10"/>
      <name val="Arial"/>
      <family val="2"/>
    </font>
    <font>
      <sz val="8"/>
      <name val="Arial"/>
      <family val="2"/>
    </font>
    <font>
      <sz val="8"/>
      <name val="MS Sans Serif"/>
      <family val="2"/>
    </font>
    <font>
      <i/>
      <sz val="8"/>
      <name val="Arial"/>
      <family val="2"/>
    </font>
    <font>
      <sz val="11"/>
      <color indexed="8"/>
      <name val="Arial"/>
      <family val="2"/>
    </font>
    <font>
      <i/>
      <sz val="11"/>
      <color indexed="8"/>
      <name val="Calibri"/>
      <family val="2"/>
    </font>
    <font>
      <b/>
      <i/>
      <sz val="11"/>
      <color indexed="8"/>
      <name val="Calibri"/>
      <family val="2"/>
    </font>
    <font>
      <b/>
      <sz val="11"/>
      <name val="Calibri"/>
      <family val="2"/>
    </font>
    <font>
      <b/>
      <sz val="11"/>
      <color indexed="18"/>
      <name val="Calibri"/>
      <family val="2"/>
    </font>
    <font>
      <sz val="11"/>
      <color indexed="18"/>
      <name val="Calibri"/>
      <family val="2"/>
    </font>
    <font>
      <b/>
      <sz val="11"/>
      <color indexed="63"/>
      <name val="Calibri"/>
      <family val="2"/>
    </font>
    <font>
      <vertAlign val="superscript"/>
      <sz val="11"/>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rgb="FF000000"/>
      <name val="Calibri"/>
      <family val="2"/>
    </font>
    <font>
      <b/>
      <sz val="11"/>
      <color rgb="FF000000"/>
      <name val="Calibri"/>
      <family val="2"/>
    </font>
    <font>
      <sz val="11"/>
      <color rgb="FF000033"/>
      <name val="Calibri"/>
      <family val="2"/>
    </font>
    <font>
      <b/>
      <sz val="11"/>
      <color rgb="FF000033"/>
      <name val="Calibri"/>
      <family val="2"/>
    </font>
    <font>
      <b/>
      <sz val="11"/>
      <color rgb="FF333333"/>
      <name val="Calibri"/>
      <family val="2"/>
    </font>
    <font>
      <b/>
      <i/>
      <sz val="11"/>
      <color theme="1"/>
      <name val="Calibri"/>
      <family val="2"/>
    </font>
    <font>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top/>
      <bottom style="thin"/>
    </border>
    <border>
      <left style="thin"/>
      <right style="thin"/>
      <top/>
      <bottom/>
    </border>
    <border>
      <left style="thin"/>
      <right style="thin"/>
      <top style="thin"/>
      <bottom/>
    </border>
    <border>
      <left style="thin"/>
      <right style="thin"/>
      <top style="thin"/>
      <bottom style="thin"/>
    </border>
    <border>
      <left/>
      <right/>
      <top style="thin"/>
      <bottom style="thin"/>
    </border>
    <border>
      <left style="thin"/>
      <right/>
      <top style="thin"/>
      <bottom style="thin"/>
    </border>
    <border>
      <left/>
      <right style="thin"/>
      <top/>
      <bottom style="thin"/>
    </border>
    <border>
      <left style="thin"/>
      <right/>
      <top/>
      <bottom style="thin"/>
    </border>
    <border>
      <left/>
      <right style="thin"/>
      <top/>
      <bottom/>
    </border>
    <border>
      <left style="thin"/>
      <right/>
      <top/>
      <bottom/>
    </border>
    <border>
      <left style="thin"/>
      <right/>
      <top style="thin"/>
      <bottom/>
    </border>
    <border>
      <left/>
      <right style="thin"/>
      <top style="thin"/>
      <bottom style="thin"/>
    </border>
    <border>
      <left/>
      <right style="thin"/>
      <top style="thin"/>
      <bottom/>
    </border>
    <border>
      <left/>
      <right/>
      <top style="thin"/>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 fillId="0" borderId="0" applyFont="0" applyFill="0" applyBorder="0" applyAlignment="0" applyProtection="0"/>
    <xf numFmtId="0" fontId="43" fillId="0" borderId="0" applyNumberFormat="0" applyFill="0" applyBorder="0" applyAlignment="0" applyProtection="0"/>
    <xf numFmtId="169" fontId="10" fillId="0" borderId="0" applyFill="0" applyBorder="0" applyAlignment="0" applyProtection="0"/>
    <xf numFmtId="3" fontId="10" fillId="0" borderId="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3" fontId="10" fillId="0" borderId="0" applyFill="0" applyBorder="0" applyAlignment="0" applyProtection="0"/>
    <xf numFmtId="0" fontId="50" fillId="31" borderId="0" applyNumberFormat="0" applyBorder="0" applyAlignment="0" applyProtection="0"/>
    <xf numFmtId="0" fontId="3" fillId="0" borderId="0">
      <alignment/>
      <protection/>
    </xf>
    <xf numFmtId="0" fontId="10" fillId="0" borderId="0" applyNumberFormat="0" applyFill="0" applyBorder="0" applyAlignment="0" applyProtection="0"/>
    <xf numFmtId="0" fontId="3" fillId="0" borderId="0">
      <alignment/>
      <protection/>
    </xf>
    <xf numFmtId="0" fontId="3" fillId="0" borderId="0">
      <alignment/>
      <protection/>
    </xf>
    <xf numFmtId="0" fontId="10" fillId="0" borderId="0" applyNumberFormat="0" applyFill="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7">
    <xf numFmtId="0" fontId="0" fillId="0" borderId="0" xfId="0" applyFont="1" applyAlignment="1">
      <alignment/>
    </xf>
    <xf numFmtId="0" fontId="3" fillId="0" borderId="0" xfId="59">
      <alignment/>
      <protection/>
    </xf>
    <xf numFmtId="0" fontId="3" fillId="0" borderId="0" xfId="59" applyFont="1">
      <alignment/>
      <protection/>
    </xf>
    <xf numFmtId="0" fontId="4" fillId="0" borderId="0" xfId="59" applyFont="1">
      <alignment/>
      <protection/>
    </xf>
    <xf numFmtId="167" fontId="3" fillId="0" borderId="0" xfId="59" applyNumberFormat="1" applyFont="1" applyBorder="1" applyAlignment="1">
      <alignment horizontal="right" vertical="center"/>
      <protection/>
    </xf>
    <xf numFmtId="0" fontId="3" fillId="0" borderId="0" xfId="59" applyFont="1" applyBorder="1" applyAlignment="1">
      <alignment horizontal="center" vertical="center"/>
      <protection/>
    </xf>
    <xf numFmtId="0" fontId="3" fillId="0" borderId="0" xfId="59" applyFont="1" applyBorder="1" applyAlignment="1">
      <alignment horizontal="left" vertical="center"/>
      <protection/>
    </xf>
    <xf numFmtId="168" fontId="3" fillId="0" borderId="10" xfId="59" applyNumberFormat="1" applyFont="1" applyBorder="1" applyAlignment="1">
      <alignment horizontal="right" vertical="center"/>
      <protection/>
    </xf>
    <xf numFmtId="168" fontId="3" fillId="0" borderId="11" xfId="59" applyNumberFormat="1" applyFont="1" applyBorder="1" applyAlignment="1">
      <alignment horizontal="right" vertical="center"/>
      <protection/>
    </xf>
    <xf numFmtId="0" fontId="3" fillId="0" borderId="10" xfId="59" applyFont="1" applyBorder="1" applyAlignment="1">
      <alignment horizontal="center" vertical="center"/>
      <protection/>
    </xf>
    <xf numFmtId="168" fontId="3" fillId="0" borderId="12" xfId="59" applyNumberFormat="1" applyFont="1" applyBorder="1" applyAlignment="1">
      <alignment horizontal="right" vertical="center"/>
      <protection/>
    </xf>
    <xf numFmtId="168" fontId="3" fillId="0" borderId="0" xfId="59" applyNumberFormat="1" applyFont="1" applyBorder="1" applyAlignment="1">
      <alignment horizontal="right" vertical="center"/>
      <protection/>
    </xf>
    <xf numFmtId="0" fontId="3" fillId="0" borderId="12" xfId="59" applyFont="1" applyBorder="1" applyAlignment="1">
      <alignment horizontal="center" vertical="center"/>
      <protection/>
    </xf>
    <xf numFmtId="0" fontId="3" fillId="0" borderId="12" xfId="59" applyFont="1" applyBorder="1" applyAlignment="1">
      <alignment horizontal="right" vertical="center"/>
      <protection/>
    </xf>
    <xf numFmtId="0" fontId="3" fillId="0" borderId="13" xfId="59" applyFont="1" applyBorder="1" applyAlignment="1">
      <alignment horizontal="right" vertical="center"/>
      <protection/>
    </xf>
    <xf numFmtId="0" fontId="3" fillId="0" borderId="14" xfId="59" applyFont="1" applyBorder="1" applyAlignment="1">
      <alignment horizontal="center" vertical="center"/>
      <protection/>
    </xf>
    <xf numFmtId="0" fontId="3" fillId="0" borderId="15" xfId="59" applyFont="1" applyBorder="1" applyAlignment="1">
      <alignment horizontal="center" vertical="center"/>
      <protection/>
    </xf>
    <xf numFmtId="0" fontId="3" fillId="0" borderId="16" xfId="59" applyFont="1" applyBorder="1" applyAlignment="1">
      <alignment horizontal="center" vertical="center"/>
      <protection/>
    </xf>
    <xf numFmtId="0" fontId="3" fillId="0" borderId="0" xfId="59" applyFont="1" applyAlignment="1">
      <alignment horizontal="right" vertical="center"/>
      <protection/>
    </xf>
    <xf numFmtId="0" fontId="3" fillId="0" borderId="0" xfId="59" applyFont="1" applyBorder="1" applyAlignment="1">
      <alignment vertical="center"/>
      <protection/>
    </xf>
    <xf numFmtId="0" fontId="3" fillId="0" borderId="0" xfId="59" applyFont="1" applyAlignment="1">
      <alignment vertical="center"/>
      <protection/>
    </xf>
    <xf numFmtId="0" fontId="5" fillId="0" borderId="0" xfId="59" applyFont="1" applyAlignment="1">
      <alignment vertical="center"/>
      <protection/>
    </xf>
    <xf numFmtId="169" fontId="3" fillId="0" borderId="0" xfId="59" applyNumberFormat="1">
      <alignment/>
      <protection/>
    </xf>
    <xf numFmtId="0" fontId="3" fillId="0" borderId="0" xfId="59" applyNumberFormat="1">
      <alignment/>
      <protection/>
    </xf>
    <xf numFmtId="3" fontId="3" fillId="0" borderId="0" xfId="59" applyNumberFormat="1">
      <alignment/>
      <protection/>
    </xf>
    <xf numFmtId="169" fontId="6" fillId="0" borderId="17" xfId="59" applyNumberFormat="1" applyFont="1" applyFill="1" applyBorder="1" applyAlignment="1">
      <alignment horizontal="right" vertical="center"/>
      <protection/>
    </xf>
    <xf numFmtId="169" fontId="6" fillId="0" borderId="11" xfId="59" applyNumberFormat="1" applyFont="1" applyFill="1" applyBorder="1" applyAlignment="1">
      <alignment horizontal="right" vertical="center"/>
      <protection/>
    </xf>
    <xf numFmtId="169" fontId="6" fillId="0" borderId="18" xfId="59" applyNumberFormat="1" applyFont="1" applyFill="1" applyBorder="1" applyAlignment="1">
      <alignment horizontal="right" vertical="center"/>
      <protection/>
    </xf>
    <xf numFmtId="169" fontId="6" fillId="0" borderId="18" xfId="59" applyNumberFormat="1" applyFont="1" applyFill="1" applyBorder="1" applyAlignment="1">
      <alignment vertical="center"/>
      <protection/>
    </xf>
    <xf numFmtId="169" fontId="6" fillId="0" borderId="19" xfId="59" applyNumberFormat="1" applyFont="1" applyFill="1" applyBorder="1" applyAlignment="1">
      <alignment horizontal="right" vertical="center"/>
      <protection/>
    </xf>
    <xf numFmtId="169" fontId="6" fillId="0" borderId="0" xfId="59" applyNumberFormat="1" applyFont="1" applyFill="1" applyBorder="1" applyAlignment="1">
      <alignment horizontal="right" vertical="center"/>
      <protection/>
    </xf>
    <xf numFmtId="169" fontId="6" fillId="0" borderId="20" xfId="59" applyNumberFormat="1" applyFont="1" applyFill="1" applyBorder="1" applyAlignment="1">
      <alignment horizontal="right" vertical="center"/>
      <protection/>
    </xf>
    <xf numFmtId="169" fontId="6" fillId="0" borderId="20" xfId="59" applyNumberFormat="1" applyFont="1" applyFill="1" applyBorder="1" applyAlignment="1">
      <alignment vertical="center"/>
      <protection/>
    </xf>
    <xf numFmtId="169" fontId="6" fillId="0" borderId="21" xfId="59" applyNumberFormat="1" applyFont="1" applyFill="1" applyBorder="1" applyAlignment="1">
      <alignment vertical="center"/>
      <protection/>
    </xf>
    <xf numFmtId="169" fontId="6" fillId="0" borderId="22" xfId="59" applyNumberFormat="1" applyFont="1" applyFill="1" applyBorder="1" applyAlignment="1">
      <alignment vertical="center"/>
      <protection/>
    </xf>
    <xf numFmtId="169" fontId="6" fillId="0" borderId="15" xfId="59" applyNumberFormat="1" applyFont="1" applyFill="1" applyBorder="1" applyAlignment="1">
      <alignment vertical="center"/>
      <protection/>
    </xf>
    <xf numFmtId="169" fontId="6" fillId="0" borderId="16" xfId="59" applyNumberFormat="1" applyFont="1" applyFill="1" applyBorder="1" applyAlignment="1">
      <alignment vertical="center"/>
      <protection/>
    </xf>
    <xf numFmtId="169" fontId="7" fillId="0" borderId="16" xfId="59" applyNumberFormat="1" applyFont="1" applyFill="1" applyBorder="1" applyAlignment="1">
      <alignment vertical="center" wrapText="1"/>
      <protection/>
    </xf>
    <xf numFmtId="169" fontId="6" fillId="0" borderId="22" xfId="59" applyNumberFormat="1" applyFont="1" applyFill="1" applyBorder="1" applyAlignment="1">
      <alignment horizontal="center" vertical="center" wrapText="1"/>
      <protection/>
    </xf>
    <xf numFmtId="169" fontId="6" fillId="0" borderId="15" xfId="59" applyNumberFormat="1" applyFont="1" applyFill="1" applyBorder="1" applyAlignment="1">
      <alignment horizontal="center" vertical="center" wrapText="1"/>
      <protection/>
    </xf>
    <xf numFmtId="169" fontId="6" fillId="0" borderId="16" xfId="59" applyNumberFormat="1" applyFont="1" applyFill="1" applyBorder="1" applyAlignment="1">
      <alignment horizontal="center" vertical="center" wrapText="1"/>
      <protection/>
    </xf>
    <xf numFmtId="169" fontId="7" fillId="0" borderId="16" xfId="59" applyNumberFormat="1" applyFont="1" applyFill="1" applyBorder="1" applyAlignment="1">
      <alignment horizontal="right" vertical="center" wrapText="1"/>
      <protection/>
    </xf>
    <xf numFmtId="169" fontId="6" fillId="0" borderId="19" xfId="59" applyNumberFormat="1" applyFont="1" applyFill="1" applyBorder="1" applyAlignment="1">
      <alignment vertical="center"/>
      <protection/>
    </xf>
    <xf numFmtId="169" fontId="6" fillId="0" borderId="0" xfId="59" applyNumberFormat="1" applyFont="1" applyFill="1" applyBorder="1" applyAlignment="1">
      <alignment vertical="center"/>
      <protection/>
    </xf>
    <xf numFmtId="169" fontId="6" fillId="0" borderId="23" xfId="59" applyNumberFormat="1" applyFont="1" applyFill="1" applyBorder="1" applyAlignment="1">
      <alignment vertical="center"/>
      <protection/>
    </xf>
    <xf numFmtId="169" fontId="6" fillId="0" borderId="24" xfId="59" applyNumberFormat="1" applyFont="1" applyFill="1" applyBorder="1" applyAlignment="1">
      <alignment vertical="center"/>
      <protection/>
    </xf>
    <xf numFmtId="169" fontId="8" fillId="0" borderId="21" xfId="59" applyNumberFormat="1" applyFont="1" applyFill="1" applyBorder="1" applyAlignment="1">
      <alignment vertical="center"/>
      <protection/>
    </xf>
    <xf numFmtId="0" fontId="5" fillId="0" borderId="0" xfId="59" applyFont="1" applyBorder="1">
      <alignment/>
      <protection/>
    </xf>
    <xf numFmtId="1" fontId="5" fillId="0" borderId="0" xfId="59" applyNumberFormat="1" applyFont="1" applyBorder="1">
      <alignment/>
      <protection/>
    </xf>
    <xf numFmtId="0" fontId="5" fillId="0" borderId="0" xfId="59" applyFont="1">
      <alignment/>
      <protection/>
    </xf>
    <xf numFmtId="0" fontId="3" fillId="0" borderId="0" xfId="59" applyFont="1" applyBorder="1">
      <alignment/>
      <protection/>
    </xf>
    <xf numFmtId="1" fontId="3" fillId="0" borderId="0" xfId="59" applyNumberFormat="1" applyFont="1" applyBorder="1">
      <alignment/>
      <protection/>
    </xf>
    <xf numFmtId="0" fontId="3" fillId="0" borderId="0" xfId="59" applyFont="1" applyBorder="1" applyAlignment="1">
      <alignment horizontal="right"/>
      <protection/>
    </xf>
    <xf numFmtId="0" fontId="5" fillId="0" borderId="14" xfId="59" applyFont="1" applyBorder="1" applyAlignment="1">
      <alignment horizontal="center" vertical="center" wrapText="1"/>
      <protection/>
    </xf>
    <xf numFmtId="1" fontId="5" fillId="0" borderId="14" xfId="59" applyNumberFormat="1" applyFont="1" applyBorder="1" applyAlignment="1">
      <alignment horizontal="center" vertical="center" wrapText="1"/>
      <protection/>
    </xf>
    <xf numFmtId="0" fontId="5" fillId="0" borderId="12" xfId="59" applyFont="1" applyBorder="1">
      <alignment/>
      <protection/>
    </xf>
    <xf numFmtId="3" fontId="5" fillId="0" borderId="12" xfId="59" applyNumberFormat="1" applyFont="1" applyBorder="1" applyAlignment="1">
      <alignment horizontal="center"/>
      <protection/>
    </xf>
    <xf numFmtId="1" fontId="5" fillId="0" borderId="12" xfId="59" applyNumberFormat="1" applyFont="1" applyBorder="1" applyAlignment="1">
      <alignment horizontal="center"/>
      <protection/>
    </xf>
    <xf numFmtId="1" fontId="5" fillId="0" borderId="13" xfId="59" applyNumberFormat="1" applyFont="1" applyBorder="1" applyAlignment="1">
      <alignment horizontal="center"/>
      <protection/>
    </xf>
    <xf numFmtId="0" fontId="3" fillId="0" borderId="12" xfId="59" applyFont="1" applyBorder="1">
      <alignment/>
      <protection/>
    </xf>
    <xf numFmtId="3" fontId="3" fillId="0" borderId="0" xfId="59" applyNumberFormat="1" applyFont="1">
      <alignment/>
      <protection/>
    </xf>
    <xf numFmtId="1" fontId="3" fillId="0" borderId="12" xfId="59" applyNumberFormat="1" applyFont="1" applyBorder="1">
      <alignment/>
      <protection/>
    </xf>
    <xf numFmtId="3" fontId="3" fillId="0" borderId="0" xfId="59" applyNumberFormat="1" applyFont="1" applyAlignment="1">
      <alignment horizontal="center"/>
      <protection/>
    </xf>
    <xf numFmtId="1" fontId="3" fillId="0" borderId="12" xfId="59" applyNumberFormat="1" applyFont="1" applyBorder="1" applyAlignment="1">
      <alignment horizontal="center"/>
      <protection/>
    </xf>
    <xf numFmtId="3" fontId="3" fillId="0" borderId="12" xfId="59" applyNumberFormat="1" applyFont="1" applyBorder="1" applyAlignment="1">
      <alignment horizontal="center"/>
      <protection/>
    </xf>
    <xf numFmtId="3" fontId="3" fillId="0" borderId="12" xfId="59" applyNumberFormat="1" applyBorder="1">
      <alignment/>
      <protection/>
    </xf>
    <xf numFmtId="1" fontId="3" fillId="0" borderId="12" xfId="59" applyNumberFormat="1" applyBorder="1">
      <alignment/>
      <protection/>
    </xf>
    <xf numFmtId="0" fontId="3" fillId="0" borderId="0" xfId="59" applyBorder="1">
      <alignment/>
      <protection/>
    </xf>
    <xf numFmtId="0" fontId="3" fillId="0" borderId="10" xfId="59" applyFont="1" applyBorder="1">
      <alignment/>
      <protection/>
    </xf>
    <xf numFmtId="3" fontId="3" fillId="0" borderId="10" xfId="59" applyNumberFormat="1" applyFont="1" applyBorder="1" applyAlignment="1">
      <alignment horizontal="center"/>
      <protection/>
    </xf>
    <xf numFmtId="1" fontId="3" fillId="0" borderId="10" xfId="59" applyNumberFormat="1" applyFont="1" applyBorder="1" applyAlignment="1">
      <alignment horizontal="center"/>
      <protection/>
    </xf>
    <xf numFmtId="0" fontId="3" fillId="0" borderId="24" xfId="59" applyFont="1" applyFill="1" applyBorder="1">
      <alignment/>
      <protection/>
    </xf>
    <xf numFmtId="3" fontId="3" fillId="0" borderId="0" xfId="59" applyNumberFormat="1" applyBorder="1" applyAlignment="1">
      <alignment horizontal="center"/>
      <protection/>
    </xf>
    <xf numFmtId="170" fontId="3" fillId="0" borderId="0" xfId="59" applyNumberFormat="1" applyBorder="1" applyAlignment="1">
      <alignment horizontal="center"/>
      <protection/>
    </xf>
    <xf numFmtId="0" fontId="3" fillId="33" borderId="0" xfId="59" applyFont="1" applyFill="1">
      <alignment/>
      <protection/>
    </xf>
    <xf numFmtId="1" fontId="3" fillId="0" borderId="0" xfId="59" applyNumberFormat="1" applyBorder="1">
      <alignment/>
      <protection/>
    </xf>
    <xf numFmtId="0" fontId="4" fillId="0" borderId="0" xfId="59" applyFont="1" applyBorder="1">
      <alignment/>
      <protection/>
    </xf>
    <xf numFmtId="1" fontId="4" fillId="0" borderId="0" xfId="59" applyNumberFormat="1" applyFont="1" applyBorder="1">
      <alignment/>
      <protection/>
    </xf>
    <xf numFmtId="1" fontId="3" fillId="0" borderId="0" xfId="59" applyNumberFormat="1">
      <alignment/>
      <protection/>
    </xf>
    <xf numFmtId="169" fontId="6" fillId="34" borderId="0" xfId="59" applyNumberFormat="1" applyFont="1" applyFill="1" applyBorder="1" applyAlignment="1">
      <alignment horizontal="right" vertical="center"/>
      <protection/>
    </xf>
    <xf numFmtId="9" fontId="0" fillId="0" borderId="0" xfId="0" applyNumberFormat="1" applyAlignment="1">
      <alignment/>
    </xf>
    <xf numFmtId="164" fontId="0" fillId="0" borderId="0" xfId="0" applyNumberFormat="1" applyAlignment="1">
      <alignment/>
    </xf>
    <xf numFmtId="0" fontId="5" fillId="0" borderId="0" xfId="60" applyFont="1" applyAlignment="1">
      <alignment vertical="center"/>
    </xf>
    <xf numFmtId="0" fontId="3" fillId="0" borderId="0" xfId="63" applyFont="1" applyAlignment="1">
      <alignment vertical="center"/>
    </xf>
    <xf numFmtId="0" fontId="3" fillId="0" borderId="0" xfId="61" applyAlignment="1">
      <alignment vertical="center"/>
      <protection/>
    </xf>
    <xf numFmtId="0" fontId="5" fillId="0" borderId="0" xfId="60" applyFont="1" applyAlignment="1">
      <alignment horizontal="right" vertical="center"/>
    </xf>
    <xf numFmtId="0" fontId="5" fillId="0" borderId="0" xfId="60" applyFont="1" applyAlignment="1">
      <alignment horizontal="left" vertical="center" wrapText="1"/>
    </xf>
    <xf numFmtId="0" fontId="11" fillId="0" borderId="0" xfId="61" applyFont="1" applyAlignment="1">
      <alignment vertical="center"/>
      <protection/>
    </xf>
    <xf numFmtId="0" fontId="5" fillId="0" borderId="0" xfId="60" applyFont="1" applyAlignment="1">
      <alignment horizontal="right" vertical="center" wrapText="1"/>
    </xf>
    <xf numFmtId="0" fontId="5" fillId="0" borderId="0" xfId="63" applyFont="1" applyAlignment="1">
      <alignment horizontal="center" vertical="center" wrapText="1"/>
    </xf>
    <xf numFmtId="0" fontId="5" fillId="0" borderId="0" xfId="60" applyFont="1" applyAlignment="1">
      <alignment horizontal="center" vertical="center" wrapText="1"/>
    </xf>
    <xf numFmtId="0" fontId="3" fillId="0" borderId="0" xfId="61" applyAlignment="1">
      <alignment horizontal="right" vertical="center"/>
      <protection/>
    </xf>
    <xf numFmtId="0" fontId="5" fillId="0" borderId="0" xfId="63" applyFont="1" applyAlignment="1">
      <alignment horizontal="left" vertical="center" wrapText="1"/>
    </xf>
    <xf numFmtId="169" fontId="3" fillId="0" borderId="0" xfId="60" applyNumberFormat="1" applyFont="1" applyAlignment="1">
      <alignment horizontal="right" vertical="center"/>
    </xf>
    <xf numFmtId="169" fontId="3" fillId="0" borderId="0" xfId="61" applyNumberFormat="1" applyAlignment="1">
      <alignment horizontal="right" vertical="center"/>
      <protection/>
    </xf>
    <xf numFmtId="0" fontId="5" fillId="0" borderId="0" xfId="63" applyFont="1" applyAlignment="1">
      <alignment horizontal="right" vertical="center" wrapText="1"/>
    </xf>
    <xf numFmtId="170" fontId="3" fillId="0" borderId="0" xfId="61" applyNumberFormat="1" applyAlignment="1">
      <alignment vertical="center"/>
      <protection/>
    </xf>
    <xf numFmtId="0" fontId="5" fillId="0" borderId="0" xfId="63" applyFont="1" applyAlignment="1">
      <alignment horizontal="left" vertical="center"/>
    </xf>
    <xf numFmtId="0" fontId="5" fillId="0" borderId="0" xfId="63" applyFont="1" applyAlignment="1">
      <alignment horizontal="right" vertical="center"/>
    </xf>
    <xf numFmtId="0" fontId="5" fillId="0" borderId="0" xfId="63" applyFont="1" applyAlignment="1">
      <alignment horizontal="left"/>
    </xf>
    <xf numFmtId="169" fontId="3" fillId="0" borderId="0" xfId="60" applyNumberFormat="1" applyFont="1" applyAlignment="1">
      <alignment horizontal="right"/>
    </xf>
    <xf numFmtId="170" fontId="3" fillId="0" borderId="0" xfId="61" applyNumberFormat="1">
      <alignment/>
      <protection/>
    </xf>
    <xf numFmtId="170" fontId="3" fillId="0" borderId="0" xfId="61" applyNumberFormat="1" applyAlignment="1">
      <alignment horizontal="right" vertical="center"/>
      <protection/>
    </xf>
    <xf numFmtId="0" fontId="5" fillId="0" borderId="0" xfId="62" applyFont="1" applyAlignment="1">
      <alignment horizontal="left" vertical="center"/>
      <protection/>
    </xf>
    <xf numFmtId="170" fontId="3" fillId="0" borderId="0" xfId="62" applyNumberFormat="1" applyAlignment="1">
      <alignment horizontal="right" vertical="center"/>
      <protection/>
    </xf>
    <xf numFmtId="0" fontId="12" fillId="0" borderId="0" xfId="60" applyNumberFormat="1" applyFont="1" applyAlignment="1">
      <alignment vertical="center"/>
    </xf>
    <xf numFmtId="0" fontId="13" fillId="0" borderId="0" xfId="60" applyFont="1" applyAlignment="1">
      <alignment vertical="center"/>
    </xf>
    <xf numFmtId="0" fontId="3" fillId="0" borderId="0" xfId="63" applyFont="1" applyAlignment="1">
      <alignment horizontal="right" vertical="center"/>
    </xf>
    <xf numFmtId="0" fontId="12" fillId="0" borderId="0" xfId="63" applyNumberFormat="1" applyFont="1" applyAlignment="1">
      <alignment vertical="center"/>
    </xf>
    <xf numFmtId="0" fontId="14" fillId="0" borderId="0" xfId="63" applyNumberFormat="1" applyFont="1" applyAlignment="1">
      <alignment vertical="center"/>
    </xf>
    <xf numFmtId="0" fontId="55" fillId="0" borderId="0" xfId="0" applyFont="1" applyAlignment="1">
      <alignment horizontal="left" wrapText="1" indent="1"/>
    </xf>
    <xf numFmtId="10" fontId="0" fillId="0" borderId="0" xfId="0" applyNumberFormat="1" applyAlignment="1">
      <alignment/>
    </xf>
    <xf numFmtId="0" fontId="0" fillId="0" borderId="0" xfId="0" applyAlignment="1">
      <alignment wrapText="1"/>
    </xf>
    <xf numFmtId="0" fontId="53" fillId="0" borderId="0" xfId="0" applyFont="1" applyAlignment="1">
      <alignment/>
    </xf>
    <xf numFmtId="0" fontId="0" fillId="0" borderId="14" xfId="0" applyBorder="1" applyAlignment="1">
      <alignment/>
    </xf>
    <xf numFmtId="164" fontId="0" fillId="0" borderId="14" xfId="0" applyNumberFormat="1" applyBorder="1" applyAlignment="1">
      <alignment/>
    </xf>
    <xf numFmtId="3" fontId="0" fillId="0" borderId="14" xfId="0" applyNumberFormat="1" applyBorder="1" applyAlignment="1">
      <alignment/>
    </xf>
    <xf numFmtId="9" fontId="0" fillId="0" borderId="14" xfId="0" applyNumberFormat="1" applyBorder="1" applyAlignment="1">
      <alignment/>
    </xf>
    <xf numFmtId="0" fontId="0" fillId="0" borderId="0" xfId="0" applyBorder="1" applyAlignment="1">
      <alignment/>
    </xf>
    <xf numFmtId="164" fontId="0" fillId="0" borderId="0" xfId="0" applyNumberFormat="1" applyBorder="1" applyAlignment="1">
      <alignment/>
    </xf>
    <xf numFmtId="171" fontId="0" fillId="0" borderId="14" xfId="66" applyNumberFormat="1" applyFont="1" applyBorder="1" applyAlignment="1">
      <alignment/>
    </xf>
    <xf numFmtId="171" fontId="0" fillId="0" borderId="14" xfId="0" applyNumberFormat="1" applyBorder="1" applyAlignment="1">
      <alignment/>
    </xf>
    <xf numFmtId="10" fontId="0" fillId="0" borderId="14" xfId="0" applyNumberFormat="1" applyBorder="1" applyAlignment="1">
      <alignment/>
    </xf>
    <xf numFmtId="0" fontId="0" fillId="0" borderId="14" xfId="0" applyBorder="1" applyAlignment="1">
      <alignment wrapText="1"/>
    </xf>
    <xf numFmtId="0" fontId="0" fillId="0" borderId="14" xfId="0" applyBorder="1" applyAlignment="1">
      <alignment vertical="center"/>
    </xf>
    <xf numFmtId="0" fontId="0" fillId="35" borderId="0" xfId="0" applyFill="1" applyAlignment="1">
      <alignment/>
    </xf>
    <xf numFmtId="0" fontId="0" fillId="35" borderId="0" xfId="0" applyFill="1" applyAlignment="1">
      <alignment horizontal="center"/>
    </xf>
    <xf numFmtId="0" fontId="0" fillId="35" borderId="24" xfId="0" applyFill="1" applyBorder="1" applyAlignment="1">
      <alignment/>
    </xf>
    <xf numFmtId="0" fontId="0" fillId="35" borderId="23" xfId="0" applyFill="1" applyBorder="1" applyAlignment="1">
      <alignment horizontal="center"/>
    </xf>
    <xf numFmtId="0" fontId="0" fillId="35" borderId="0" xfId="0" applyFill="1" applyBorder="1" applyAlignment="1">
      <alignment/>
    </xf>
    <xf numFmtId="164" fontId="0" fillId="35" borderId="19" xfId="0" applyNumberFormat="1" applyFill="1" applyBorder="1" applyAlignment="1">
      <alignment horizontal="right"/>
    </xf>
    <xf numFmtId="0" fontId="0" fillId="35" borderId="19" xfId="0" applyFill="1" applyBorder="1" applyAlignment="1">
      <alignment horizontal="center"/>
    </xf>
    <xf numFmtId="0" fontId="0" fillId="35" borderId="11" xfId="0" applyFill="1" applyBorder="1" applyAlignment="1">
      <alignment/>
    </xf>
    <xf numFmtId="0" fontId="0" fillId="35" borderId="21" xfId="0" applyFill="1" applyBorder="1" applyAlignment="1">
      <alignment/>
    </xf>
    <xf numFmtId="0" fontId="0" fillId="35" borderId="24" xfId="0" applyFill="1" applyBorder="1" applyAlignment="1">
      <alignment horizontal="center"/>
    </xf>
    <xf numFmtId="0" fontId="0" fillId="35" borderId="23" xfId="0" applyFill="1" applyBorder="1" applyAlignment="1">
      <alignment/>
    </xf>
    <xf numFmtId="0" fontId="0" fillId="35" borderId="20" xfId="0" applyFill="1" applyBorder="1" applyAlignment="1">
      <alignment/>
    </xf>
    <xf numFmtId="0" fontId="0" fillId="35" borderId="19" xfId="0" applyFill="1" applyBorder="1" applyAlignment="1">
      <alignment/>
    </xf>
    <xf numFmtId="0" fontId="0" fillId="35" borderId="0" xfId="0" applyFill="1" applyBorder="1" applyAlignment="1">
      <alignment horizontal="center"/>
    </xf>
    <xf numFmtId="0" fontId="0" fillId="35" borderId="18" xfId="0" applyFill="1" applyBorder="1" applyAlignment="1">
      <alignment/>
    </xf>
    <xf numFmtId="0" fontId="0" fillId="35" borderId="11" xfId="0" applyFill="1" applyBorder="1" applyAlignment="1">
      <alignment horizontal="center"/>
    </xf>
    <xf numFmtId="0" fontId="0" fillId="35" borderId="17" xfId="0" applyFill="1" applyBorder="1" applyAlignment="1">
      <alignment/>
    </xf>
    <xf numFmtId="164" fontId="53" fillId="35" borderId="19" xfId="0" applyNumberFormat="1" applyFont="1" applyFill="1" applyBorder="1" applyAlignment="1">
      <alignment horizontal="right"/>
    </xf>
    <xf numFmtId="0" fontId="53" fillId="36" borderId="14" xfId="0" applyFont="1" applyFill="1" applyBorder="1" applyAlignment="1">
      <alignment/>
    </xf>
    <xf numFmtId="0" fontId="53" fillId="36" borderId="14" xfId="0" applyFont="1" applyFill="1" applyBorder="1" applyAlignment="1">
      <alignment horizontal="center"/>
    </xf>
    <xf numFmtId="0" fontId="0" fillId="0" borderId="14" xfId="0" applyBorder="1" applyAlignment="1">
      <alignment horizontal="center"/>
    </xf>
    <xf numFmtId="0" fontId="0" fillId="0" borderId="0" xfId="0" applyFont="1" applyAlignment="1">
      <alignment/>
    </xf>
    <xf numFmtId="0" fontId="18" fillId="36" borderId="14" xfId="0" applyFont="1" applyFill="1" applyBorder="1" applyAlignment="1">
      <alignment horizontal="center" vertical="center" wrapText="1"/>
    </xf>
    <xf numFmtId="0" fontId="56" fillId="0" borderId="14" xfId="0" applyFont="1" applyFill="1" applyBorder="1" applyAlignment="1">
      <alignment vertical="top" wrapText="1"/>
    </xf>
    <xf numFmtId="10" fontId="56" fillId="0" borderId="14" xfId="0" applyNumberFormat="1" applyFont="1" applyFill="1" applyBorder="1" applyAlignment="1">
      <alignment horizontal="right" vertical="center" wrapText="1"/>
    </xf>
    <xf numFmtId="0" fontId="56" fillId="0" borderId="14" xfId="0" applyFont="1" applyFill="1" applyBorder="1" applyAlignment="1">
      <alignment horizontal="right" vertical="center" wrapText="1"/>
    </xf>
    <xf numFmtId="0" fontId="0" fillId="0" borderId="14" xfId="0" applyFont="1" applyBorder="1" applyAlignment="1">
      <alignment horizontal="right" vertical="center"/>
    </xf>
    <xf numFmtId="0" fontId="57" fillId="37" borderId="14" xfId="0" applyFont="1" applyFill="1" applyBorder="1" applyAlignment="1">
      <alignment horizontal="left" vertical="center" wrapText="1"/>
    </xf>
    <xf numFmtId="0" fontId="56" fillId="37" borderId="14" xfId="0" applyFont="1" applyFill="1" applyBorder="1" applyAlignment="1">
      <alignment horizontal="left" vertical="top" wrapText="1"/>
    </xf>
    <xf numFmtId="0" fontId="56" fillId="0" borderId="14" xfId="0" applyFont="1" applyFill="1" applyBorder="1" applyAlignment="1">
      <alignment horizontal="left" vertical="top" wrapText="1"/>
    </xf>
    <xf numFmtId="0" fontId="56" fillId="0" borderId="0" xfId="0" applyFont="1" applyAlignment="1">
      <alignment horizontal="left" wrapText="1" indent="1"/>
    </xf>
    <xf numFmtId="0" fontId="0" fillId="0" borderId="0" xfId="0" applyFont="1" applyAlignment="1">
      <alignment horizontal="left" wrapText="1" indent="1"/>
    </xf>
    <xf numFmtId="0" fontId="56" fillId="0" borderId="0" xfId="0" applyFont="1" applyAlignment="1">
      <alignment/>
    </xf>
    <xf numFmtId="0" fontId="58" fillId="0" borderId="0" xfId="0" applyFont="1" applyAlignment="1">
      <alignment wrapText="1"/>
    </xf>
    <xf numFmtId="0" fontId="56" fillId="0" borderId="0" xfId="0" applyFont="1" applyAlignment="1">
      <alignment wrapText="1"/>
    </xf>
    <xf numFmtId="0" fontId="0" fillId="0" borderId="14" xfId="0" applyFont="1" applyBorder="1" applyAlignment="1">
      <alignment/>
    </xf>
    <xf numFmtId="0" fontId="56" fillId="0" borderId="14" xfId="0" applyFont="1" applyBorder="1" applyAlignment="1">
      <alignment horizontal="left" wrapText="1" indent="1"/>
    </xf>
    <xf numFmtId="0" fontId="57" fillId="0" borderId="14" xfId="0" applyFont="1" applyBorder="1" applyAlignment="1">
      <alignment horizontal="left" wrapText="1" indent="1"/>
    </xf>
    <xf numFmtId="0" fontId="53" fillId="36" borderId="14" xfId="0" applyFont="1" applyFill="1" applyBorder="1" applyAlignment="1">
      <alignment horizontal="left" wrapText="1" indent="1"/>
    </xf>
    <xf numFmtId="0" fontId="18" fillId="36" borderId="14" xfId="0" applyFont="1" applyFill="1" applyBorder="1" applyAlignment="1">
      <alignment horizontal="left" vertical="center" wrapText="1"/>
    </xf>
    <xf numFmtId="0" fontId="23" fillId="0" borderId="14" xfId="0" applyFont="1" applyFill="1" applyBorder="1" applyAlignment="1">
      <alignment vertical="top" wrapText="1"/>
    </xf>
    <xf numFmtId="9" fontId="23" fillId="0" borderId="14" xfId="0" applyNumberFormat="1" applyFont="1" applyFill="1" applyBorder="1" applyAlignment="1">
      <alignment vertical="top" wrapText="1"/>
    </xf>
    <xf numFmtId="0" fontId="59" fillId="0" borderId="14" xfId="0" applyFont="1" applyBorder="1" applyAlignment="1">
      <alignment/>
    </xf>
    <xf numFmtId="0" fontId="58" fillId="0" borderId="14" xfId="0" applyFont="1" applyBorder="1" applyAlignment="1">
      <alignment wrapText="1"/>
    </xf>
    <xf numFmtId="0" fontId="56" fillId="0" borderId="14" xfId="0" applyFont="1" applyBorder="1" applyAlignment="1">
      <alignment wrapText="1"/>
    </xf>
    <xf numFmtId="0" fontId="59" fillId="36" borderId="14" xfId="0" applyFont="1" applyFill="1" applyBorder="1" applyAlignment="1">
      <alignment wrapText="1"/>
    </xf>
    <xf numFmtId="0" fontId="60" fillId="36" borderId="14" xfId="0" applyFont="1" applyFill="1" applyBorder="1" applyAlignment="1">
      <alignment horizontal="left" wrapText="1"/>
    </xf>
    <xf numFmtId="0" fontId="55" fillId="0" borderId="14" xfId="0" applyFont="1" applyBorder="1" applyAlignment="1">
      <alignment horizontal="left" wrapText="1" indent="1"/>
    </xf>
    <xf numFmtId="172" fontId="0" fillId="0" borderId="14" xfId="0" applyNumberFormat="1" applyBorder="1" applyAlignment="1">
      <alignment/>
    </xf>
    <xf numFmtId="10" fontId="0" fillId="0" borderId="14" xfId="66" applyNumberFormat="1" applyFont="1" applyBorder="1" applyAlignment="1">
      <alignment/>
    </xf>
    <xf numFmtId="165" fontId="0" fillId="35" borderId="19" xfId="0" applyNumberFormat="1" applyFill="1" applyBorder="1" applyAlignment="1">
      <alignment horizontal="right"/>
    </xf>
    <xf numFmtId="165" fontId="0" fillId="35" borderId="17" xfId="0" applyNumberFormat="1" applyFill="1" applyBorder="1" applyAlignment="1">
      <alignment horizontal="right"/>
    </xf>
    <xf numFmtId="0" fontId="53" fillId="35" borderId="20" xfId="0" applyFont="1" applyFill="1" applyBorder="1" applyAlignment="1">
      <alignment/>
    </xf>
    <xf numFmtId="164" fontId="0" fillId="35" borderId="19" xfId="0" applyNumberFormat="1" applyFont="1" applyFill="1" applyBorder="1" applyAlignment="1">
      <alignment horizontal="right"/>
    </xf>
    <xf numFmtId="0" fontId="53" fillId="35" borderId="18" xfId="0" applyFont="1" applyFill="1" applyBorder="1" applyAlignment="1">
      <alignment/>
    </xf>
    <xf numFmtId="164" fontId="53" fillId="35" borderId="17" xfId="0" applyNumberFormat="1" applyFont="1" applyFill="1" applyBorder="1" applyAlignment="1">
      <alignment horizontal="right"/>
    </xf>
    <xf numFmtId="0" fontId="61" fillId="36" borderId="21" xfId="0" applyFont="1" applyFill="1" applyBorder="1" applyAlignment="1">
      <alignment horizontal="center" vertical="center"/>
    </xf>
    <xf numFmtId="0" fontId="61" fillId="36" borderId="24"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61" fillId="36" borderId="11" xfId="0" applyFont="1" applyFill="1" applyBorder="1" applyAlignment="1">
      <alignment horizontal="center" vertical="center"/>
    </xf>
    <xf numFmtId="0" fontId="0" fillId="35" borderId="15" xfId="0" applyFill="1" applyBorder="1" applyAlignment="1">
      <alignment horizontal="center"/>
    </xf>
    <xf numFmtId="0" fontId="0" fillId="35" borderId="21" xfId="0" applyFill="1" applyBorder="1" applyAlignment="1">
      <alignment horizontal="center" vertical="center" wrapText="1"/>
    </xf>
    <xf numFmtId="0" fontId="0" fillId="35" borderId="23"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18" xfId="0" applyFill="1" applyBorder="1" applyAlignment="1">
      <alignment horizontal="center" vertical="center" wrapText="1"/>
    </xf>
    <xf numFmtId="0" fontId="0" fillId="35" borderId="17" xfId="0" applyFill="1" applyBorder="1" applyAlignment="1">
      <alignment horizontal="center" vertical="center" wrapText="1"/>
    </xf>
    <xf numFmtId="0" fontId="62" fillId="35" borderId="21" xfId="0" applyFont="1" applyFill="1" applyBorder="1" applyAlignment="1">
      <alignment horizontal="center" vertical="center"/>
    </xf>
    <xf numFmtId="0" fontId="62" fillId="35" borderId="24" xfId="0" applyFont="1" applyFill="1" applyBorder="1" applyAlignment="1">
      <alignment horizontal="center" vertical="center"/>
    </xf>
    <xf numFmtId="0" fontId="62" fillId="35" borderId="23" xfId="0" applyFont="1" applyFill="1" applyBorder="1" applyAlignment="1">
      <alignment horizontal="center" vertical="center"/>
    </xf>
    <xf numFmtId="0" fontId="62" fillId="35" borderId="20" xfId="0" applyFont="1" applyFill="1" applyBorder="1" applyAlignment="1">
      <alignment horizontal="center" vertical="center"/>
    </xf>
    <xf numFmtId="0" fontId="62" fillId="35" borderId="0" xfId="0" applyFont="1" applyFill="1" applyBorder="1" applyAlignment="1">
      <alignment horizontal="center" vertical="center"/>
    </xf>
    <xf numFmtId="0" fontId="62" fillId="35" borderId="19" xfId="0" applyFont="1" applyFill="1" applyBorder="1" applyAlignment="1">
      <alignment horizontal="center" vertical="center"/>
    </xf>
    <xf numFmtId="0" fontId="62" fillId="35" borderId="18" xfId="0" applyFont="1" applyFill="1" applyBorder="1" applyAlignment="1">
      <alignment horizontal="center" vertical="center"/>
    </xf>
    <xf numFmtId="0" fontId="62" fillId="35" borderId="11" xfId="0" applyFont="1" applyFill="1" applyBorder="1" applyAlignment="1">
      <alignment horizontal="center" vertical="center"/>
    </xf>
    <xf numFmtId="0" fontId="62" fillId="35" borderId="17" xfId="0" applyFont="1" applyFill="1" applyBorder="1" applyAlignment="1">
      <alignment horizontal="center" vertical="center"/>
    </xf>
    <xf numFmtId="0" fontId="62" fillId="35" borderId="21" xfId="0" applyFont="1" applyFill="1" applyBorder="1" applyAlignment="1">
      <alignment horizontal="center" vertical="center" wrapText="1"/>
    </xf>
    <xf numFmtId="0" fontId="62" fillId="35" borderId="24" xfId="0" applyFont="1" applyFill="1" applyBorder="1" applyAlignment="1">
      <alignment horizontal="center" vertical="center" wrapText="1"/>
    </xf>
    <xf numFmtId="0" fontId="62" fillId="35" borderId="23" xfId="0" applyFont="1" applyFill="1" applyBorder="1" applyAlignment="1">
      <alignment horizontal="center" vertical="center" wrapText="1"/>
    </xf>
    <xf numFmtId="0" fontId="62" fillId="35" borderId="20" xfId="0" applyFont="1" applyFill="1" applyBorder="1" applyAlignment="1">
      <alignment horizontal="center" vertical="center" wrapText="1"/>
    </xf>
    <xf numFmtId="0" fontId="62" fillId="35" borderId="0" xfId="0" applyFont="1" applyFill="1" applyBorder="1" applyAlignment="1">
      <alignment horizontal="center" vertical="center" wrapText="1"/>
    </xf>
    <xf numFmtId="0" fontId="62" fillId="35" borderId="19" xfId="0" applyFont="1" applyFill="1" applyBorder="1" applyAlignment="1">
      <alignment horizontal="center" vertical="center" wrapText="1"/>
    </xf>
    <xf numFmtId="0" fontId="62" fillId="35" borderId="18" xfId="0" applyFont="1" applyFill="1" applyBorder="1" applyAlignment="1">
      <alignment horizontal="center" vertical="center" wrapText="1"/>
    </xf>
    <xf numFmtId="0" fontId="62" fillId="35" borderId="11" xfId="0" applyFont="1" applyFill="1" applyBorder="1" applyAlignment="1">
      <alignment horizontal="center" vertical="center" wrapText="1"/>
    </xf>
    <xf numFmtId="0" fontId="62" fillId="35" borderId="17" xfId="0" applyFont="1" applyFill="1" applyBorder="1" applyAlignment="1">
      <alignment horizontal="center" vertical="center" wrapText="1"/>
    </xf>
    <xf numFmtId="0" fontId="3" fillId="0" borderId="21" xfId="59" applyFont="1" applyBorder="1" applyAlignment="1">
      <alignment horizontal="center" vertical="center"/>
      <protection/>
    </xf>
    <xf numFmtId="0" fontId="3" fillId="0" borderId="24" xfId="59" applyFont="1" applyBorder="1" applyAlignment="1">
      <alignment horizontal="center" vertical="center"/>
      <protection/>
    </xf>
    <xf numFmtId="0" fontId="3" fillId="0" borderId="23" xfId="59" applyFont="1" applyBorder="1" applyAlignment="1">
      <alignment horizontal="center" vertical="center"/>
      <protection/>
    </xf>
    <xf numFmtId="0" fontId="3" fillId="0" borderId="13" xfId="59" applyFont="1" applyBorder="1" applyAlignment="1">
      <alignment horizontal="center" vertical="center"/>
      <protection/>
    </xf>
    <xf numFmtId="0" fontId="3" fillId="0" borderId="10" xfId="59" applyBorder="1" applyAlignment="1">
      <alignment horizontal="center" vertical="center"/>
      <protection/>
    </xf>
    <xf numFmtId="169" fontId="6" fillId="0" borderId="16" xfId="59" applyNumberFormat="1" applyFont="1" applyFill="1" applyBorder="1" applyAlignment="1">
      <alignment horizontal="center" vertical="center" wrapText="1"/>
      <protection/>
    </xf>
    <xf numFmtId="169" fontId="6" fillId="0" borderId="15" xfId="59" applyNumberFormat="1" applyFont="1" applyFill="1" applyBorder="1" applyAlignment="1">
      <alignment horizontal="center" vertical="center" wrapText="1"/>
      <protection/>
    </xf>
    <xf numFmtId="169" fontId="6" fillId="0" borderId="22" xfId="59" applyNumberFormat="1" applyFont="1" applyFill="1" applyBorder="1" applyAlignment="1">
      <alignment horizontal="center" vertical="center" wrapText="1"/>
      <protection/>
    </xf>
    <xf numFmtId="0" fontId="3" fillId="0" borderId="15" xfId="59" applyBorder="1" applyAlignment="1">
      <alignment horizontal="center" vertical="center" wrapText="1"/>
      <protection/>
    </xf>
    <xf numFmtId="0" fontId="3" fillId="0" borderId="22" xfId="59" applyBorder="1" applyAlignment="1">
      <alignment horizontal="center" vertical="center" wrapText="1"/>
      <protection/>
    </xf>
    <xf numFmtId="0" fontId="53" fillId="36" borderId="14" xfId="0" applyFont="1" applyFill="1" applyBorder="1" applyAlignment="1">
      <alignment horizontal="center"/>
    </xf>
    <xf numFmtId="0" fontId="53" fillId="36" borderId="14" xfId="0" applyFont="1" applyFill="1" applyBorder="1" applyAlignment="1">
      <alignment/>
    </xf>
    <xf numFmtId="0" fontId="0" fillId="0" borderId="14" xfId="0" applyFont="1" applyBorder="1" applyAlignment="1">
      <alignment horizontal="right" vertical="center"/>
    </xf>
    <xf numFmtId="10" fontId="56" fillId="0" borderId="14" xfId="0" applyNumberFormat="1" applyFont="1" applyFill="1" applyBorder="1" applyAlignment="1">
      <alignment horizontal="right" vertical="center" wrapText="1"/>
    </xf>
    <xf numFmtId="0" fontId="56" fillId="0" borderId="14" xfId="0" applyFont="1" applyFill="1" applyBorder="1" applyAlignment="1">
      <alignment horizontal="righ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inancier" xfId="48"/>
    <cellStyle name="Financier0" xfId="49"/>
    <cellStyle name="Good" xfId="50"/>
    <cellStyle name="Heading 1" xfId="51"/>
    <cellStyle name="Heading 2" xfId="52"/>
    <cellStyle name="Heading 3" xfId="53"/>
    <cellStyle name="Heading 4" xfId="54"/>
    <cellStyle name="Input" xfId="55"/>
    <cellStyle name="Linked Cell" xfId="56"/>
    <cellStyle name="Monétaire0" xfId="57"/>
    <cellStyle name="Neutral" xfId="58"/>
    <cellStyle name="Normal 2" xfId="59"/>
    <cellStyle name="normal_C12F122g1" xfId="60"/>
    <cellStyle name="Normal_C12F122g1_1" xfId="61"/>
    <cellStyle name="Normal_C13F122G1" xfId="62"/>
    <cellStyle name="normal_FW9F122G1"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175"/>
          <c:w val="0.93175"/>
          <c:h val="0.92225"/>
        </c:manualLayout>
      </c:layout>
      <c:barChart>
        <c:barDir val="col"/>
        <c:grouping val="stacked"/>
        <c:varyColors val="0"/>
        <c:overlap val="100"/>
        <c:axId val="7676340"/>
        <c:axId val="1978197"/>
      </c:barChart>
      <c:catAx>
        <c:axId val="7676340"/>
        <c:scaling>
          <c:orientation val="minMax"/>
        </c:scaling>
        <c:axPos val="b"/>
        <c:delete val="0"/>
        <c:numFmt formatCode="General" sourceLinked="1"/>
        <c:majorTickMark val="out"/>
        <c:minorTickMark val="none"/>
        <c:tickLblPos val="nextTo"/>
        <c:spPr>
          <a:ln w="3175">
            <a:solidFill>
              <a:srgbClr val="808080"/>
            </a:solidFill>
          </a:ln>
        </c:spPr>
        <c:crossAx val="1978197"/>
        <c:crosses val="autoZero"/>
        <c:auto val="1"/>
        <c:lblOffset val="100"/>
        <c:tickLblSkip val="1"/>
        <c:noMultiLvlLbl val="0"/>
      </c:catAx>
      <c:valAx>
        <c:axId val="19781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676340"/>
        <c:crossesAt val="1"/>
        <c:crossBetween val="between"/>
        <c:dispUnits/>
      </c:valAx>
      <c:spPr>
        <a:solidFill>
          <a:srgbClr val="FFFFFF"/>
        </a:solidFill>
        <a:ln w="3175">
          <a:noFill/>
        </a:ln>
      </c:spPr>
    </c:plotArea>
    <c:legend>
      <c:legendPos val="r"/>
      <c:layout>
        <c:manualLayout>
          <c:xMode val="edge"/>
          <c:yMode val="edge"/>
          <c:x val="0.983"/>
          <c:y val="0.49525"/>
          <c:w val="0.0085"/>
          <c:h val="0.00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13</xdr:row>
      <xdr:rowOff>9525</xdr:rowOff>
    </xdr:from>
    <xdr:to>
      <xdr:col>7</xdr:col>
      <xdr:colOff>276225</xdr:colOff>
      <xdr:row>24</xdr:row>
      <xdr:rowOff>0</xdr:rowOff>
    </xdr:to>
    <xdr:sp>
      <xdr:nvSpPr>
        <xdr:cNvPr id="1" name="Triangle isocèle 1"/>
        <xdr:cNvSpPr>
          <a:spLocks/>
        </xdr:cNvSpPr>
      </xdr:nvSpPr>
      <xdr:spPr>
        <a:xfrm rot="5400000">
          <a:off x="7705725" y="2486025"/>
          <a:ext cx="180975" cy="2085975"/>
        </a:xfrm>
        <a:prstGeom prst="triangle">
          <a:avLst/>
        </a:prstGeom>
        <a:solidFill>
          <a:srgbClr val="C0504D"/>
        </a:solidFill>
        <a:ln w="25400" cmpd="sng">
          <a:noFill/>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1</cdr:y>
    </cdr:to>
    <cdr:pic>
      <cdr:nvPicPr>
        <cdr:cNvPr id="1" name="chart"/>
        <cdr:cNvPicPr preferRelativeResize="1">
          <a:picLocks noChangeAspect="1"/>
        </cdr:cNvPicPr>
      </cdr:nvPicPr>
      <cdr:blipFill>
        <a:blip r:embed="rId1"/>
        <a:srcRect l="27455" t="32742" r="17846" b="12742"/>
        <a:stretch>
          <a:fillRect/>
        </a:stretch>
      </cdr:blipFill>
      <cdr:spPr>
        <a:xfrm>
          <a:off x="0" y="0"/>
          <a:ext cx="9391650" cy="61817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81725"/>
    <xdr:graphicFrame>
      <xdr:nvGraphicFramePr>
        <xdr:cNvPr id="1" name="Shape 1025"/>
        <xdr:cNvGraphicFramePr/>
      </xdr:nvGraphicFramePr>
      <xdr:xfrm>
        <a:off x="0" y="0"/>
        <a:ext cx="9391650" cy="61817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eryvez\LOCALS~1\Temp\NATnon0222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ance"/>
      <sheetName val="France métropolitaine"/>
      <sheetName val="graphique"/>
    </sheetNames>
    <sheetDataSet>
      <sheetData sheetId="0">
        <row r="3">
          <cell r="A3" t="str">
            <v>Année</v>
          </cell>
        </row>
        <row r="4">
          <cell r="B4" t="str">
            <v>Espérance de vie des hommes</v>
          </cell>
          <cell r="G4" t="str">
            <v>Espérance de vie des femmes</v>
          </cell>
        </row>
        <row r="6">
          <cell r="B6" t="str">
            <v>à 0 an</v>
          </cell>
          <cell r="C6" t="str">
            <v>à 1 an</v>
          </cell>
          <cell r="D6" t="str">
            <v>à 20 ans</v>
          </cell>
          <cell r="E6" t="str">
            <v>à 40 ans</v>
          </cell>
          <cell r="F6" t="str">
            <v>à 60 ans</v>
          </cell>
          <cell r="G6" t="str">
            <v>à 0 an</v>
          </cell>
          <cell r="H6" t="str">
            <v>à 1 an</v>
          </cell>
          <cell r="I6" t="str">
            <v>à 20 ans</v>
          </cell>
          <cell r="J6" t="str">
            <v>à 40 ans</v>
          </cell>
          <cell r="K6" t="str">
            <v>à 60 ans</v>
          </cell>
        </row>
        <row r="8">
          <cell r="A8">
            <v>1994</v>
          </cell>
          <cell r="B8">
            <v>73.6</v>
          </cell>
          <cell r="C8">
            <v>73.1</v>
          </cell>
          <cell r="D8">
            <v>54.6</v>
          </cell>
          <cell r="E8">
            <v>36.3</v>
          </cell>
          <cell r="F8">
            <v>19.7</v>
          </cell>
          <cell r="G8">
            <v>81.8</v>
          </cell>
          <cell r="H8">
            <v>81.3</v>
          </cell>
          <cell r="I8">
            <v>62.6</v>
          </cell>
          <cell r="J8">
            <v>43.3</v>
          </cell>
          <cell r="K8">
            <v>25</v>
          </cell>
        </row>
        <row r="9">
          <cell r="A9">
            <v>1995</v>
          </cell>
          <cell r="B9">
            <v>73.8</v>
          </cell>
          <cell r="C9">
            <v>73.2</v>
          </cell>
          <cell r="D9">
            <v>54.7</v>
          </cell>
          <cell r="E9">
            <v>36.3</v>
          </cell>
          <cell r="F9">
            <v>19.7</v>
          </cell>
          <cell r="G9">
            <v>81.9</v>
          </cell>
          <cell r="H9">
            <v>81.2</v>
          </cell>
          <cell r="I9">
            <v>62.5</v>
          </cell>
          <cell r="J9">
            <v>43.2</v>
          </cell>
          <cell r="K9">
            <v>24.9</v>
          </cell>
        </row>
        <row r="10">
          <cell r="A10">
            <v>1996</v>
          </cell>
          <cell r="B10">
            <v>74.1</v>
          </cell>
          <cell r="C10">
            <v>73.5</v>
          </cell>
          <cell r="D10">
            <v>54.9</v>
          </cell>
          <cell r="E10">
            <v>36.4</v>
          </cell>
          <cell r="F10">
            <v>19.7</v>
          </cell>
          <cell r="G10">
            <v>82</v>
          </cell>
          <cell r="H10">
            <v>81.4</v>
          </cell>
          <cell r="I10">
            <v>62.6</v>
          </cell>
          <cell r="J10">
            <v>43.3</v>
          </cell>
          <cell r="K10">
            <v>25</v>
          </cell>
        </row>
        <row r="11">
          <cell r="A11">
            <v>1997</v>
          </cell>
          <cell r="B11">
            <v>74.5</v>
          </cell>
          <cell r="C11">
            <v>73.9</v>
          </cell>
          <cell r="D11">
            <v>55.3</v>
          </cell>
          <cell r="E11">
            <v>36.7</v>
          </cell>
          <cell r="F11">
            <v>19.9</v>
          </cell>
          <cell r="G11">
            <v>82.3</v>
          </cell>
          <cell r="H11">
            <v>81.6</v>
          </cell>
          <cell r="I11">
            <v>62.9</v>
          </cell>
          <cell r="J11">
            <v>43.5</v>
          </cell>
          <cell r="K11">
            <v>25.2</v>
          </cell>
        </row>
        <row r="12">
          <cell r="A12">
            <v>1998</v>
          </cell>
          <cell r="B12">
            <v>74.7</v>
          </cell>
          <cell r="C12">
            <v>74.1</v>
          </cell>
          <cell r="D12">
            <v>55.5</v>
          </cell>
          <cell r="E12">
            <v>36.8</v>
          </cell>
          <cell r="F12">
            <v>20</v>
          </cell>
          <cell r="G12">
            <v>82.4</v>
          </cell>
          <cell r="H12">
            <v>81.7</v>
          </cell>
          <cell r="I12">
            <v>63</v>
          </cell>
          <cell r="J12">
            <v>43.6</v>
          </cell>
          <cell r="K12">
            <v>25.3</v>
          </cell>
        </row>
        <row r="13">
          <cell r="A13">
            <v>1999</v>
          </cell>
          <cell r="B13">
            <v>74.9</v>
          </cell>
          <cell r="C13">
            <v>74.3</v>
          </cell>
          <cell r="D13">
            <v>55.7</v>
          </cell>
          <cell r="E13">
            <v>37</v>
          </cell>
          <cell r="F13">
            <v>20.2</v>
          </cell>
          <cell r="G13">
            <v>82.5</v>
          </cell>
          <cell r="H13">
            <v>81.8</v>
          </cell>
          <cell r="I13">
            <v>63.1</v>
          </cell>
          <cell r="J13">
            <v>43.7</v>
          </cell>
          <cell r="K13">
            <v>25.3</v>
          </cell>
        </row>
        <row r="14">
          <cell r="A14">
            <v>2000</v>
          </cell>
          <cell r="B14">
            <v>75.2</v>
          </cell>
          <cell r="C14">
            <v>74.6</v>
          </cell>
          <cell r="D14">
            <v>56</v>
          </cell>
          <cell r="E14">
            <v>37.2</v>
          </cell>
          <cell r="F14">
            <v>20.4</v>
          </cell>
          <cell r="G14">
            <v>82.8</v>
          </cell>
          <cell r="H14">
            <v>82.1</v>
          </cell>
          <cell r="I14">
            <v>63.4</v>
          </cell>
          <cell r="J14">
            <v>43.9</v>
          </cell>
          <cell r="K14">
            <v>25.6</v>
          </cell>
        </row>
        <row r="15">
          <cell r="A15">
            <v>2001</v>
          </cell>
          <cell r="B15">
            <v>75.4</v>
          </cell>
          <cell r="C15">
            <v>74.8</v>
          </cell>
          <cell r="D15">
            <v>56.2</v>
          </cell>
          <cell r="E15">
            <v>37.4</v>
          </cell>
          <cell r="F15">
            <v>20.6</v>
          </cell>
          <cell r="G15">
            <v>82.9</v>
          </cell>
          <cell r="H15">
            <v>82.2</v>
          </cell>
          <cell r="I15">
            <v>63.5</v>
          </cell>
          <cell r="J15">
            <v>44</v>
          </cell>
          <cell r="K15">
            <v>25.7</v>
          </cell>
        </row>
        <row r="16">
          <cell r="A16">
            <v>2002</v>
          </cell>
          <cell r="B16">
            <v>75.7</v>
          </cell>
          <cell r="C16">
            <v>75.1</v>
          </cell>
          <cell r="D16">
            <v>56.4</v>
          </cell>
          <cell r="E16">
            <v>37.6</v>
          </cell>
          <cell r="F16">
            <v>20.8</v>
          </cell>
          <cell r="G16">
            <v>83</v>
          </cell>
          <cell r="H16">
            <v>82.3</v>
          </cell>
          <cell r="I16">
            <v>63.6</v>
          </cell>
          <cell r="J16">
            <v>44.1</v>
          </cell>
          <cell r="K16">
            <v>25.8</v>
          </cell>
        </row>
        <row r="17">
          <cell r="A17">
            <v>2003</v>
          </cell>
          <cell r="B17">
            <v>75.8</v>
          </cell>
          <cell r="C17">
            <v>75.2</v>
          </cell>
          <cell r="D17">
            <v>56.5</v>
          </cell>
          <cell r="E17">
            <v>37.6</v>
          </cell>
          <cell r="F17">
            <v>20.8</v>
          </cell>
          <cell r="G17">
            <v>82.9</v>
          </cell>
          <cell r="H17">
            <v>82.2</v>
          </cell>
          <cell r="I17">
            <v>63.5</v>
          </cell>
          <cell r="J17">
            <v>44</v>
          </cell>
          <cell r="K17">
            <v>25.6</v>
          </cell>
        </row>
        <row r="18">
          <cell r="A18">
            <v>2004</v>
          </cell>
          <cell r="B18">
            <v>76.7</v>
          </cell>
          <cell r="C18">
            <v>76</v>
          </cell>
          <cell r="D18">
            <v>57.3</v>
          </cell>
          <cell r="E18">
            <v>38.4</v>
          </cell>
          <cell r="F18">
            <v>21.5</v>
          </cell>
          <cell r="G18">
            <v>83.8</v>
          </cell>
          <cell r="H18">
            <v>83.1</v>
          </cell>
          <cell r="I18">
            <v>64.4</v>
          </cell>
          <cell r="J18">
            <v>44.8</v>
          </cell>
          <cell r="K18">
            <v>26.5</v>
          </cell>
        </row>
        <row r="19">
          <cell r="A19">
            <v>2005</v>
          </cell>
          <cell r="B19">
            <v>76.7</v>
          </cell>
          <cell r="C19">
            <v>76</v>
          </cell>
          <cell r="D19">
            <v>57.4</v>
          </cell>
          <cell r="E19">
            <v>38.4</v>
          </cell>
          <cell r="F19">
            <v>21.4</v>
          </cell>
          <cell r="G19">
            <v>83.8</v>
          </cell>
          <cell r="H19">
            <v>83.1</v>
          </cell>
          <cell r="I19">
            <v>64.3</v>
          </cell>
          <cell r="J19">
            <v>44.8</v>
          </cell>
          <cell r="K19">
            <v>26.4</v>
          </cell>
        </row>
        <row r="20">
          <cell r="A20">
            <v>2006</v>
          </cell>
          <cell r="B20">
            <v>77.1</v>
          </cell>
          <cell r="C20">
            <v>76.5</v>
          </cell>
          <cell r="D20">
            <v>57.8</v>
          </cell>
          <cell r="E20">
            <v>38.8</v>
          </cell>
          <cell r="F20">
            <v>21.8</v>
          </cell>
          <cell r="G20">
            <v>84.2</v>
          </cell>
          <cell r="H20">
            <v>83.5</v>
          </cell>
          <cell r="I20">
            <v>64.7</v>
          </cell>
          <cell r="J20">
            <v>45.1</v>
          </cell>
          <cell r="K20">
            <v>26.7</v>
          </cell>
        </row>
        <row r="21">
          <cell r="A21">
            <v>2007</v>
          </cell>
          <cell r="B21">
            <v>77.4</v>
          </cell>
          <cell r="C21">
            <v>76.7</v>
          </cell>
          <cell r="D21">
            <v>58</v>
          </cell>
          <cell r="E21">
            <v>39</v>
          </cell>
          <cell r="F21">
            <v>21.9</v>
          </cell>
          <cell r="G21">
            <v>84.4</v>
          </cell>
          <cell r="H21">
            <v>83.6</v>
          </cell>
          <cell r="I21">
            <v>64.8</v>
          </cell>
          <cell r="J21">
            <v>45.3</v>
          </cell>
          <cell r="K21">
            <v>26.9</v>
          </cell>
        </row>
        <row r="22">
          <cell r="A22">
            <v>2008</v>
          </cell>
          <cell r="B22">
            <v>77.6</v>
          </cell>
          <cell r="C22">
            <v>76.9</v>
          </cell>
          <cell r="D22">
            <v>58.2</v>
          </cell>
          <cell r="E22">
            <v>39.1</v>
          </cell>
          <cell r="F22">
            <v>22</v>
          </cell>
          <cell r="G22">
            <v>84.3</v>
          </cell>
          <cell r="H22">
            <v>83.6</v>
          </cell>
          <cell r="I22">
            <v>64.8</v>
          </cell>
          <cell r="J22">
            <v>45.2</v>
          </cell>
          <cell r="K22">
            <v>26.8</v>
          </cell>
        </row>
        <row r="23">
          <cell r="A23" t="str">
            <v>2009 (p)</v>
          </cell>
          <cell r="B23">
            <v>77.7</v>
          </cell>
          <cell r="C23">
            <v>77.1</v>
          </cell>
          <cell r="D23">
            <v>58.3</v>
          </cell>
          <cell r="E23">
            <v>39.3</v>
          </cell>
          <cell r="F23">
            <v>22.2</v>
          </cell>
          <cell r="G23">
            <v>84.4</v>
          </cell>
          <cell r="H23">
            <v>83.7</v>
          </cell>
          <cell r="I23">
            <v>64.9</v>
          </cell>
          <cell r="J23">
            <v>45.4</v>
          </cell>
          <cell r="K23">
            <v>27</v>
          </cell>
        </row>
        <row r="24">
          <cell r="A24" t="str">
            <v>2010 (p)</v>
          </cell>
          <cell r="B24">
            <v>78</v>
          </cell>
          <cell r="C24">
            <v>77.3</v>
          </cell>
          <cell r="D24">
            <v>58.6</v>
          </cell>
          <cell r="E24">
            <v>39.5</v>
          </cell>
          <cell r="F24">
            <v>22.4</v>
          </cell>
          <cell r="G24">
            <v>84.7</v>
          </cell>
          <cell r="H24">
            <v>83.9</v>
          </cell>
          <cell r="I24">
            <v>65.1</v>
          </cell>
          <cell r="J24">
            <v>45.5</v>
          </cell>
          <cell r="K24">
            <v>27.1</v>
          </cell>
        </row>
        <row r="25">
          <cell r="A25" t="str">
            <v>2011 (p)</v>
          </cell>
          <cell r="B25">
            <v>78.2</v>
          </cell>
          <cell r="C25">
            <v>77.5</v>
          </cell>
          <cell r="D25">
            <v>58.7</v>
          </cell>
          <cell r="E25">
            <v>39.7</v>
          </cell>
          <cell r="F25">
            <v>22.5</v>
          </cell>
          <cell r="G25">
            <v>84.8</v>
          </cell>
          <cell r="H25">
            <v>84.1</v>
          </cell>
          <cell r="I25">
            <v>65.3</v>
          </cell>
          <cell r="J25">
            <v>45.7</v>
          </cell>
          <cell r="K25">
            <v>27.3</v>
          </cell>
        </row>
        <row r="27">
          <cell r="A27" t="str">
            <v>(p) résultats provisoires arrêtés à fin 2011</v>
          </cell>
        </row>
        <row r="28">
          <cell r="A28" t="str">
            <v>Champ : France, territoire au 31 décembre 2011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5"/>
  <sheetViews>
    <sheetView tabSelected="1" zoomScale="85" zoomScaleNormal="85" zoomScalePageLayoutView="0" workbookViewId="0" topLeftCell="A1">
      <selection activeCell="L23" sqref="L23"/>
    </sheetView>
  </sheetViews>
  <sheetFormatPr defaultColWidth="11.421875" defaultRowHeight="15"/>
  <cols>
    <col min="1" max="2" width="3.140625" style="125" customWidth="1"/>
    <col min="3" max="4" width="11.421875" style="125" customWidth="1"/>
    <col min="5" max="5" width="64.00390625" style="125" customWidth="1"/>
    <col min="6" max="6" width="17.8515625" style="126" customWidth="1"/>
    <col min="7" max="7" width="3.140625" style="125" customWidth="1"/>
    <col min="8" max="8" width="5.7109375" style="125" customWidth="1"/>
    <col min="9" max="9" width="3.140625" style="125" customWidth="1"/>
    <col min="10" max="11" width="11.421875" style="125" customWidth="1"/>
    <col min="12" max="12" width="64.00390625" style="125" customWidth="1"/>
    <col min="13" max="13" width="17.8515625" style="125" customWidth="1"/>
    <col min="14" max="14" width="3.140625" style="125" customWidth="1"/>
    <col min="15" max="16384" width="11.421875" style="125" customWidth="1"/>
  </cols>
  <sheetData>
    <row r="2" spans="2:14" ht="15">
      <c r="B2" s="133"/>
      <c r="C2" s="127"/>
      <c r="D2" s="127"/>
      <c r="E2" s="127"/>
      <c r="F2" s="134"/>
      <c r="G2" s="135"/>
      <c r="I2" s="133"/>
      <c r="J2" s="127"/>
      <c r="K2" s="127"/>
      <c r="L2" s="127"/>
      <c r="M2" s="134"/>
      <c r="N2" s="135"/>
    </row>
    <row r="3" spans="2:14" ht="15">
      <c r="B3" s="136"/>
      <c r="C3" s="187" t="s">
        <v>264</v>
      </c>
      <c r="D3" s="187"/>
      <c r="E3" s="187"/>
      <c r="F3" s="187"/>
      <c r="G3" s="137"/>
      <c r="I3" s="136"/>
      <c r="J3" s="187" t="s">
        <v>334</v>
      </c>
      <c r="K3" s="187"/>
      <c r="L3" s="187"/>
      <c r="M3" s="187"/>
      <c r="N3" s="137"/>
    </row>
    <row r="4" spans="2:14" ht="15">
      <c r="B4" s="136"/>
      <c r="C4" s="129"/>
      <c r="D4" s="129"/>
      <c r="E4" s="129"/>
      <c r="F4" s="138"/>
      <c r="G4" s="137"/>
      <c r="I4" s="136"/>
      <c r="J4" s="129"/>
      <c r="K4" s="129"/>
      <c r="L4" s="129"/>
      <c r="M4" s="138"/>
      <c r="N4" s="137"/>
    </row>
    <row r="5" spans="2:14" ht="15">
      <c r="B5" s="136"/>
      <c r="C5" s="181" t="s">
        <v>259</v>
      </c>
      <c r="D5" s="182"/>
      <c r="E5" s="188" t="s">
        <v>265</v>
      </c>
      <c r="F5" s="189"/>
      <c r="G5" s="137"/>
      <c r="I5" s="136"/>
      <c r="J5" s="181" t="s">
        <v>259</v>
      </c>
      <c r="K5" s="182"/>
      <c r="L5" s="188" t="s">
        <v>335</v>
      </c>
      <c r="M5" s="189"/>
      <c r="N5" s="137"/>
    </row>
    <row r="6" spans="2:14" ht="15">
      <c r="B6" s="136"/>
      <c r="C6" s="183"/>
      <c r="D6" s="184"/>
      <c r="E6" s="190"/>
      <c r="F6" s="191"/>
      <c r="G6" s="137"/>
      <c r="I6" s="136"/>
      <c r="J6" s="183"/>
      <c r="K6" s="184"/>
      <c r="L6" s="190"/>
      <c r="M6" s="191"/>
      <c r="N6" s="137"/>
    </row>
    <row r="7" spans="2:14" ht="15">
      <c r="B7" s="136"/>
      <c r="C7" s="183"/>
      <c r="D7" s="184"/>
      <c r="E7" s="190"/>
      <c r="F7" s="191"/>
      <c r="G7" s="137"/>
      <c r="I7" s="136"/>
      <c r="J7" s="183"/>
      <c r="K7" s="184"/>
      <c r="L7" s="190"/>
      <c r="M7" s="191"/>
      <c r="N7" s="137"/>
    </row>
    <row r="8" spans="2:14" ht="15">
      <c r="B8" s="136"/>
      <c r="C8" s="183"/>
      <c r="D8" s="184"/>
      <c r="E8" s="190"/>
      <c r="F8" s="191"/>
      <c r="G8" s="137"/>
      <c r="I8" s="136"/>
      <c r="J8" s="183"/>
      <c r="K8" s="184"/>
      <c r="L8" s="190"/>
      <c r="M8" s="191"/>
      <c r="N8" s="137"/>
    </row>
    <row r="9" spans="2:14" ht="15">
      <c r="B9" s="136"/>
      <c r="C9" s="183"/>
      <c r="D9" s="184"/>
      <c r="E9" s="190"/>
      <c r="F9" s="191"/>
      <c r="G9" s="137"/>
      <c r="I9" s="136"/>
      <c r="J9" s="183"/>
      <c r="K9" s="184"/>
      <c r="L9" s="190"/>
      <c r="M9" s="191"/>
      <c r="N9" s="137"/>
    </row>
    <row r="10" spans="2:14" ht="15">
      <c r="B10" s="136"/>
      <c r="C10" s="183"/>
      <c r="D10" s="184"/>
      <c r="E10" s="190"/>
      <c r="F10" s="191"/>
      <c r="G10" s="137"/>
      <c r="I10" s="136"/>
      <c r="J10" s="183"/>
      <c r="K10" s="184"/>
      <c r="L10" s="190"/>
      <c r="M10" s="191"/>
      <c r="N10" s="137"/>
    </row>
    <row r="11" spans="2:14" ht="15">
      <c r="B11" s="136"/>
      <c r="C11" s="185"/>
      <c r="D11" s="186"/>
      <c r="E11" s="192"/>
      <c r="F11" s="193"/>
      <c r="G11" s="137"/>
      <c r="I11" s="136"/>
      <c r="J11" s="185"/>
      <c r="K11" s="186"/>
      <c r="L11" s="192"/>
      <c r="M11" s="193"/>
      <c r="N11" s="137"/>
    </row>
    <row r="12" spans="2:14" ht="15">
      <c r="B12" s="136"/>
      <c r="C12" s="129"/>
      <c r="D12" s="129"/>
      <c r="E12" s="129"/>
      <c r="F12" s="138"/>
      <c r="G12" s="137"/>
      <c r="I12" s="136"/>
      <c r="J12" s="129"/>
      <c r="K12" s="129"/>
      <c r="L12" s="129"/>
      <c r="M12" s="138"/>
      <c r="N12" s="137"/>
    </row>
    <row r="13" spans="2:14" ht="15">
      <c r="B13" s="136"/>
      <c r="C13" s="181" t="s">
        <v>103</v>
      </c>
      <c r="D13" s="182"/>
      <c r="E13" s="188" t="s">
        <v>266</v>
      </c>
      <c r="F13" s="189"/>
      <c r="G13" s="137"/>
      <c r="I13" s="136"/>
      <c r="J13" s="181" t="s">
        <v>103</v>
      </c>
      <c r="K13" s="182"/>
      <c r="L13" s="188" t="s">
        <v>336</v>
      </c>
      <c r="M13" s="189"/>
      <c r="N13" s="137"/>
    </row>
    <row r="14" spans="2:14" ht="15">
      <c r="B14" s="136"/>
      <c r="C14" s="183"/>
      <c r="D14" s="184"/>
      <c r="E14" s="190"/>
      <c r="F14" s="191"/>
      <c r="G14" s="137"/>
      <c r="I14" s="136"/>
      <c r="J14" s="183"/>
      <c r="K14" s="184"/>
      <c r="L14" s="190"/>
      <c r="M14" s="191"/>
      <c r="N14" s="137"/>
    </row>
    <row r="15" spans="2:14" ht="15">
      <c r="B15" s="136"/>
      <c r="C15" s="183"/>
      <c r="D15" s="184"/>
      <c r="E15" s="190"/>
      <c r="F15" s="191"/>
      <c r="G15" s="137"/>
      <c r="I15" s="136"/>
      <c r="J15" s="183"/>
      <c r="K15" s="184"/>
      <c r="L15" s="190"/>
      <c r="M15" s="191"/>
      <c r="N15" s="137"/>
    </row>
    <row r="16" spans="2:14" ht="15">
      <c r="B16" s="136"/>
      <c r="C16" s="183"/>
      <c r="D16" s="184"/>
      <c r="E16" s="190"/>
      <c r="F16" s="191"/>
      <c r="G16" s="137"/>
      <c r="I16" s="136"/>
      <c r="J16" s="183"/>
      <c r="K16" s="184"/>
      <c r="L16" s="190"/>
      <c r="M16" s="191"/>
      <c r="N16" s="137"/>
    </row>
    <row r="17" spans="2:14" ht="15">
      <c r="B17" s="136"/>
      <c r="C17" s="183"/>
      <c r="D17" s="184"/>
      <c r="E17" s="190"/>
      <c r="F17" s="191"/>
      <c r="G17" s="137"/>
      <c r="I17" s="136"/>
      <c r="J17" s="183"/>
      <c r="K17" s="184"/>
      <c r="L17" s="190"/>
      <c r="M17" s="191"/>
      <c r="N17" s="137"/>
    </row>
    <row r="18" spans="2:14" ht="15">
      <c r="B18" s="136"/>
      <c r="C18" s="183"/>
      <c r="D18" s="184"/>
      <c r="E18" s="190"/>
      <c r="F18" s="191"/>
      <c r="G18" s="137"/>
      <c r="I18" s="136"/>
      <c r="J18" s="183"/>
      <c r="K18" s="184"/>
      <c r="L18" s="190"/>
      <c r="M18" s="191"/>
      <c r="N18" s="137"/>
    </row>
    <row r="19" spans="2:14" ht="15">
      <c r="B19" s="136"/>
      <c r="C19" s="185"/>
      <c r="D19" s="186"/>
      <c r="E19" s="192"/>
      <c r="F19" s="193"/>
      <c r="G19" s="137"/>
      <c r="I19" s="136"/>
      <c r="J19" s="185"/>
      <c r="K19" s="186"/>
      <c r="L19" s="192"/>
      <c r="M19" s="193"/>
      <c r="N19" s="137"/>
    </row>
    <row r="20" spans="2:14" ht="15">
      <c r="B20" s="136"/>
      <c r="C20" s="129"/>
      <c r="D20" s="129"/>
      <c r="E20" s="129"/>
      <c r="F20" s="138"/>
      <c r="G20" s="137"/>
      <c r="I20" s="136"/>
      <c r="J20" s="129"/>
      <c r="K20" s="129"/>
      <c r="L20" s="129"/>
      <c r="M20" s="138"/>
      <c r="N20" s="137"/>
    </row>
    <row r="21" spans="2:14" ht="15">
      <c r="B21" s="136"/>
      <c r="C21" s="181" t="s">
        <v>324</v>
      </c>
      <c r="D21" s="182"/>
      <c r="E21" s="133"/>
      <c r="F21" s="128" t="s">
        <v>261</v>
      </c>
      <c r="G21" s="137"/>
      <c r="I21" s="136"/>
      <c r="J21" s="181" t="s">
        <v>325</v>
      </c>
      <c r="K21" s="182"/>
      <c r="L21" s="133"/>
      <c r="M21" s="128" t="s">
        <v>261</v>
      </c>
      <c r="N21" s="137"/>
    </row>
    <row r="22" spans="2:14" ht="15">
      <c r="B22" s="136"/>
      <c r="C22" s="183"/>
      <c r="D22" s="184"/>
      <c r="E22" s="177" t="s">
        <v>321</v>
      </c>
      <c r="F22" s="142">
        <f>SUM(Modèle!C19:BA19,Modèle!C47:BA49)</f>
        <v>1429940.588673229</v>
      </c>
      <c r="G22" s="137"/>
      <c r="I22" s="136"/>
      <c r="J22" s="183"/>
      <c r="K22" s="184"/>
      <c r="L22" s="177" t="s">
        <v>326</v>
      </c>
      <c r="M22" s="142">
        <f>SUM(Modèle!C12:BA12,Modèle!C16:BA16,Modèle!C47:BA49)</f>
        <v>2618926.9380290397</v>
      </c>
      <c r="N22" s="137"/>
    </row>
    <row r="23" spans="2:14" ht="15">
      <c r="B23" s="136"/>
      <c r="C23" s="183"/>
      <c r="D23" s="184"/>
      <c r="E23" s="136"/>
      <c r="F23" s="131"/>
      <c r="G23" s="137"/>
      <c r="I23" s="136"/>
      <c r="J23" s="183"/>
      <c r="K23" s="184"/>
      <c r="L23" s="136" t="s">
        <v>329</v>
      </c>
      <c r="M23" s="178">
        <f>-F25</f>
        <v>-880141.8443840629</v>
      </c>
      <c r="N23" s="137"/>
    </row>
    <row r="24" spans="2:14" ht="15">
      <c r="B24" s="136"/>
      <c r="C24" s="183"/>
      <c r="D24" s="184"/>
      <c r="E24" s="177" t="s">
        <v>260</v>
      </c>
      <c r="F24" s="142">
        <f>SUM(F25:F28)</f>
        <v>1376258.2868155162</v>
      </c>
      <c r="G24" s="137"/>
      <c r="I24" s="136"/>
      <c r="J24" s="183"/>
      <c r="K24" s="184"/>
      <c r="L24" s="136"/>
      <c r="M24" s="130"/>
      <c r="N24" s="137"/>
    </row>
    <row r="25" spans="2:14" ht="15">
      <c r="B25" s="136"/>
      <c r="C25" s="183"/>
      <c r="D25" s="184"/>
      <c r="E25" s="136" t="s">
        <v>276</v>
      </c>
      <c r="F25" s="130">
        <f>SUM(Modèle!C56:BA56)</f>
        <v>880141.8443840629</v>
      </c>
      <c r="G25" s="137"/>
      <c r="I25" s="136"/>
      <c r="J25" s="183"/>
      <c r="K25" s="184"/>
      <c r="L25" s="177" t="s">
        <v>327</v>
      </c>
      <c r="M25" s="142">
        <f>M22+M23</f>
        <v>1738785.0936449766</v>
      </c>
      <c r="N25" s="137"/>
    </row>
    <row r="26" spans="2:14" ht="15">
      <c r="B26" s="136"/>
      <c r="C26" s="183"/>
      <c r="D26" s="184"/>
      <c r="E26" s="136" t="s">
        <v>320</v>
      </c>
      <c r="F26" s="130">
        <f>SUM(Modèle!C57:BA57)</f>
        <v>308844.5049717472</v>
      </c>
      <c r="G26" s="137"/>
      <c r="I26" s="136"/>
      <c r="J26" s="183"/>
      <c r="K26" s="184"/>
      <c r="L26" s="136" t="s">
        <v>328</v>
      </c>
      <c r="M26" s="130">
        <f>-F26</f>
        <v>-308844.5049717472</v>
      </c>
      <c r="N26" s="137"/>
    </row>
    <row r="27" spans="2:14" ht="15">
      <c r="B27" s="136"/>
      <c r="C27" s="183"/>
      <c r="D27" s="184"/>
      <c r="E27" s="136" t="s">
        <v>319</v>
      </c>
      <c r="F27" s="130">
        <f>SUM(Modèle!C62:BA62,Modèle!C66:BA68)</f>
        <v>11008.235615039932</v>
      </c>
      <c r="G27" s="137"/>
      <c r="I27" s="136"/>
      <c r="J27" s="183"/>
      <c r="K27" s="184"/>
      <c r="L27" s="136"/>
      <c r="M27" s="130"/>
      <c r="N27" s="137"/>
    </row>
    <row r="28" spans="2:14" ht="15">
      <c r="B28" s="136"/>
      <c r="C28" s="183"/>
      <c r="D28" s="184"/>
      <c r="E28" s="136" t="s">
        <v>318</v>
      </c>
      <c r="F28" s="130">
        <f>SUM(Modèle!C73:BA73,Modèle!C77:BA77,Modèle!C79:BA79)</f>
        <v>176263.7018446662</v>
      </c>
      <c r="G28" s="137"/>
      <c r="I28" s="136"/>
      <c r="J28" s="183"/>
      <c r="K28" s="184"/>
      <c r="L28" s="177" t="s">
        <v>2</v>
      </c>
      <c r="M28" s="142">
        <f>M26+M25</f>
        <v>1429940.5886732293</v>
      </c>
      <c r="N28" s="137"/>
    </row>
    <row r="29" spans="2:14" ht="15">
      <c r="B29" s="136"/>
      <c r="C29" s="183"/>
      <c r="D29" s="184"/>
      <c r="E29" s="136"/>
      <c r="F29" s="131"/>
      <c r="G29" s="137"/>
      <c r="I29" s="136"/>
      <c r="J29" s="183"/>
      <c r="K29" s="184"/>
      <c r="L29" s="136" t="s">
        <v>330</v>
      </c>
      <c r="M29" s="178">
        <f>-F27</f>
        <v>-11008.235615039932</v>
      </c>
      <c r="N29" s="137"/>
    </row>
    <row r="30" spans="2:14" ht="15">
      <c r="B30" s="136"/>
      <c r="C30" s="183"/>
      <c r="D30" s="184"/>
      <c r="E30" s="136" t="s">
        <v>262</v>
      </c>
      <c r="F30" s="175">
        <f>F24/F22</f>
        <v>0.9624583690518764</v>
      </c>
      <c r="G30" s="137"/>
      <c r="I30" s="136"/>
      <c r="J30" s="183"/>
      <c r="K30" s="184"/>
      <c r="L30" s="136"/>
      <c r="M30" s="175"/>
      <c r="N30" s="137"/>
    </row>
    <row r="31" spans="2:14" ht="15">
      <c r="B31" s="136"/>
      <c r="C31" s="183"/>
      <c r="D31" s="184"/>
      <c r="E31" s="136" t="s">
        <v>263</v>
      </c>
      <c r="F31" s="175">
        <f>(F24-F25)/F22</f>
        <v>0.3469489896022709</v>
      </c>
      <c r="G31" s="137"/>
      <c r="I31" s="136"/>
      <c r="J31" s="183"/>
      <c r="K31" s="184"/>
      <c r="L31" s="177" t="s">
        <v>331</v>
      </c>
      <c r="M31" s="142">
        <f>M28+M29</f>
        <v>1418932.3530581894</v>
      </c>
      <c r="N31" s="137"/>
    </row>
    <row r="32" spans="2:14" ht="15">
      <c r="B32" s="136"/>
      <c r="C32" s="183"/>
      <c r="D32" s="184"/>
      <c r="E32" s="136"/>
      <c r="F32" s="131"/>
      <c r="G32" s="137"/>
      <c r="I32" s="136"/>
      <c r="J32" s="183"/>
      <c r="K32" s="184"/>
      <c r="L32" s="136" t="s">
        <v>333</v>
      </c>
      <c r="M32" s="178">
        <f>-F28</f>
        <v>-176263.7018446662</v>
      </c>
      <c r="N32" s="137"/>
    </row>
    <row r="33" spans="2:14" ht="15">
      <c r="B33" s="136"/>
      <c r="C33" s="183"/>
      <c r="D33" s="184"/>
      <c r="E33" s="136" t="s">
        <v>323</v>
      </c>
      <c r="F33" s="175">
        <f>(F25+F26)/F22</f>
        <v>0.8314935311116747</v>
      </c>
      <c r="G33" s="137"/>
      <c r="I33" s="136"/>
      <c r="J33" s="183"/>
      <c r="K33" s="184"/>
      <c r="L33" s="136"/>
      <c r="M33" s="175"/>
      <c r="N33" s="137"/>
    </row>
    <row r="34" spans="2:14" ht="15">
      <c r="B34" s="136"/>
      <c r="C34" s="185"/>
      <c r="D34" s="186"/>
      <c r="E34" s="139" t="s">
        <v>322</v>
      </c>
      <c r="F34" s="176">
        <f>(F27+F28)/F22</f>
        <v>0.13096483794020175</v>
      </c>
      <c r="G34" s="137"/>
      <c r="I34" s="136"/>
      <c r="J34" s="185"/>
      <c r="K34" s="186"/>
      <c r="L34" s="179" t="s">
        <v>332</v>
      </c>
      <c r="M34" s="180">
        <f>M31+M32</f>
        <v>1242668.6512135232</v>
      </c>
      <c r="N34" s="137"/>
    </row>
    <row r="35" spans="2:14" ht="15">
      <c r="B35" s="139"/>
      <c r="C35" s="132"/>
      <c r="D35" s="132"/>
      <c r="E35" s="132"/>
      <c r="F35" s="140"/>
      <c r="G35" s="141"/>
      <c r="I35" s="139"/>
      <c r="J35" s="132"/>
      <c r="K35" s="132"/>
      <c r="L35" s="132"/>
      <c r="M35" s="140"/>
      <c r="N35" s="141"/>
    </row>
  </sheetData>
  <sheetProtection/>
  <mergeCells count="12">
    <mergeCell ref="C21:D34"/>
    <mergeCell ref="J21:K34"/>
    <mergeCell ref="J3:M3"/>
    <mergeCell ref="J5:K11"/>
    <mergeCell ref="L5:M11"/>
    <mergeCell ref="J13:K19"/>
    <mergeCell ref="L13:M19"/>
    <mergeCell ref="C3:F3"/>
    <mergeCell ref="C5:D11"/>
    <mergeCell ref="E5:F11"/>
    <mergeCell ref="C13:D19"/>
    <mergeCell ref="E13:F19"/>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L72"/>
  <sheetViews>
    <sheetView zoomScalePageLayoutView="0" workbookViewId="0" topLeftCell="A37">
      <selection activeCell="G61" sqref="G61"/>
    </sheetView>
  </sheetViews>
  <sheetFormatPr defaultColWidth="11.421875" defaultRowHeight="15"/>
  <cols>
    <col min="1" max="1" width="18.421875" style="97" customWidth="1"/>
    <col min="2" max="2" width="13.00390625" style="83" customWidth="1"/>
    <col min="3" max="3" width="15.28125" style="83" customWidth="1"/>
    <col min="4" max="4" width="15.8515625" style="83" customWidth="1"/>
    <col min="5" max="5" width="25.00390625" style="107" customWidth="1"/>
    <col min="6" max="6" width="12.7109375" style="83" customWidth="1"/>
    <col min="7" max="7" width="13.28125" style="83" customWidth="1"/>
    <col min="8" max="8" width="15.8515625" style="83" customWidth="1"/>
    <col min="9" max="9" width="9.00390625" style="83" customWidth="1"/>
    <col min="10" max="16384" width="11.421875" style="83" customWidth="1"/>
  </cols>
  <sheetData>
    <row r="1" spans="1:12" ht="12.75">
      <c r="A1" s="82" t="s">
        <v>109</v>
      </c>
      <c r="D1" s="84"/>
      <c r="E1" s="85"/>
      <c r="H1" s="84"/>
      <c r="I1" s="84"/>
      <c r="J1" s="84"/>
      <c r="K1" s="84"/>
      <c r="L1" s="84"/>
    </row>
    <row r="2" spans="1:12" ht="12.75">
      <c r="A2" s="86"/>
      <c r="B2" s="87"/>
      <c r="D2" s="84"/>
      <c r="E2" s="88"/>
      <c r="F2" s="87"/>
      <c r="H2" s="84"/>
      <c r="I2" s="84"/>
      <c r="J2" s="84"/>
      <c r="K2" s="84"/>
      <c r="L2" s="84"/>
    </row>
    <row r="3" spans="2:12" s="89" customFormat="1" ht="50.25" customHeight="1">
      <c r="B3" s="89" t="s">
        <v>110</v>
      </c>
      <c r="C3" s="89" t="s">
        <v>111</v>
      </c>
      <c r="D3" s="90" t="s">
        <v>112</v>
      </c>
      <c r="E3" s="91"/>
      <c r="H3" s="90"/>
      <c r="I3" s="84"/>
      <c r="J3" s="84"/>
      <c r="K3" s="84"/>
      <c r="L3" s="84"/>
    </row>
    <row r="4" spans="1:12" ht="12.75">
      <c r="A4" s="92">
        <v>1950</v>
      </c>
      <c r="B4" s="93">
        <v>16.923993137960753</v>
      </c>
      <c r="C4" s="93">
        <v>9.39708274446013</v>
      </c>
      <c r="D4" s="94">
        <v>6.642489533612437</v>
      </c>
      <c r="E4" s="95"/>
      <c r="F4" s="93"/>
      <c r="G4" s="93"/>
      <c r="H4" s="96"/>
      <c r="I4" s="84"/>
      <c r="J4" s="84"/>
      <c r="K4" s="84"/>
      <c r="L4" s="84"/>
    </row>
    <row r="5" spans="1:12" ht="12.75">
      <c r="A5" s="92">
        <v>1951</v>
      </c>
      <c r="B5" s="93">
        <v>16.87029477817482</v>
      </c>
      <c r="C5" s="93">
        <v>8.024124634528722</v>
      </c>
      <c r="D5" s="94">
        <v>7.633582395231573</v>
      </c>
      <c r="E5" s="95"/>
      <c r="F5" s="93"/>
      <c r="G5" s="93"/>
      <c r="H5" s="96"/>
      <c r="I5" s="84"/>
      <c r="J5" s="84"/>
      <c r="K5" s="84"/>
      <c r="L5" s="84"/>
    </row>
    <row r="6" spans="1:12" ht="12.75">
      <c r="A6" s="92">
        <v>1952</v>
      </c>
      <c r="B6" s="93">
        <v>17.138454445078093</v>
      </c>
      <c r="C6" s="93">
        <v>8.129390781028201</v>
      </c>
      <c r="D6" s="94">
        <v>8.57468726112331</v>
      </c>
      <c r="E6" s="95"/>
      <c r="F6" s="93"/>
      <c r="G6" s="93"/>
      <c r="H6" s="96"/>
      <c r="I6" s="84"/>
      <c r="J6" s="84"/>
      <c r="K6" s="84"/>
      <c r="L6" s="84"/>
    </row>
    <row r="7" spans="1:12" ht="12.75">
      <c r="A7" s="92">
        <v>1953</v>
      </c>
      <c r="B7" s="93">
        <v>15.491873193384832</v>
      </c>
      <c r="C7" s="93">
        <v>6.747855755105916</v>
      </c>
      <c r="D7" s="94">
        <v>8.906908970288585</v>
      </c>
      <c r="E7" s="95"/>
      <c r="F7" s="93"/>
      <c r="G7" s="93"/>
      <c r="H7" s="96"/>
      <c r="I7" s="84"/>
      <c r="J7" s="84"/>
      <c r="K7" s="84"/>
      <c r="L7" s="84"/>
    </row>
    <row r="8" spans="1:12" ht="12.75">
      <c r="A8" s="92">
        <v>1954</v>
      </c>
      <c r="B8" s="93">
        <v>17.188369543057718</v>
      </c>
      <c r="C8" s="93">
        <v>7.5525238444203335</v>
      </c>
      <c r="D8" s="94">
        <v>9.51848321385869</v>
      </c>
      <c r="E8" s="95"/>
      <c r="F8" s="93"/>
      <c r="G8" s="93"/>
      <c r="H8" s="96"/>
      <c r="I8" s="84"/>
      <c r="J8" s="84"/>
      <c r="K8" s="84"/>
      <c r="L8" s="84"/>
    </row>
    <row r="9" spans="1:12" ht="12.75">
      <c r="A9" s="92">
        <v>1955</v>
      </c>
      <c r="B9" s="93">
        <v>18.21723983375439</v>
      </c>
      <c r="C9" s="93">
        <v>8.135543150517492</v>
      </c>
      <c r="D9" s="94">
        <v>10.259962513242604</v>
      </c>
      <c r="E9" s="95"/>
      <c r="F9" s="93"/>
      <c r="G9" s="93"/>
      <c r="H9" s="96"/>
      <c r="I9" s="84"/>
      <c r="J9" s="84"/>
      <c r="K9" s="84"/>
      <c r="L9" s="84"/>
    </row>
    <row r="10" spans="1:12" ht="12.75">
      <c r="A10" s="92">
        <v>1956</v>
      </c>
      <c r="B10" s="93">
        <v>16.211311905603832</v>
      </c>
      <c r="C10" s="93">
        <v>6.2868734994695705</v>
      </c>
      <c r="D10" s="94">
        <v>10.157078781336658</v>
      </c>
      <c r="E10" s="95"/>
      <c r="F10" s="93"/>
      <c r="G10" s="93"/>
      <c r="H10" s="96"/>
      <c r="I10" s="84"/>
      <c r="J10" s="84"/>
      <c r="K10" s="84"/>
      <c r="L10" s="84"/>
    </row>
    <row r="11" spans="1:12" ht="12.75">
      <c r="A11" s="92">
        <v>1957</v>
      </c>
      <c r="B11" s="93">
        <v>17.12494290578418</v>
      </c>
      <c r="C11" s="93">
        <v>5.934061371091662</v>
      </c>
      <c r="D11" s="94">
        <v>10.798903791055928</v>
      </c>
      <c r="E11" s="95"/>
      <c r="F11" s="93"/>
      <c r="G11" s="93"/>
      <c r="H11" s="96"/>
      <c r="I11" s="84"/>
      <c r="J11" s="84"/>
      <c r="K11" s="84"/>
      <c r="L11" s="84"/>
    </row>
    <row r="12" spans="1:12" ht="12.75">
      <c r="A12" s="92">
        <v>1958</v>
      </c>
      <c r="B12" s="93">
        <v>17.751116560119087</v>
      </c>
      <c r="C12" s="93">
        <v>6.425329129812868</v>
      </c>
      <c r="D12" s="94">
        <v>10.872960270893541</v>
      </c>
      <c r="E12" s="95"/>
      <c r="F12" s="93"/>
      <c r="G12" s="93"/>
      <c r="H12" s="96"/>
      <c r="I12" s="84"/>
      <c r="J12" s="84"/>
      <c r="K12" s="84"/>
      <c r="L12" s="84"/>
    </row>
    <row r="13" spans="1:12" ht="12.75">
      <c r="A13" s="97">
        <v>1959</v>
      </c>
      <c r="B13" s="93">
        <v>16.33960095245916</v>
      </c>
      <c r="C13" s="93">
        <v>5.266921203163928</v>
      </c>
      <c r="D13" s="94">
        <v>10.809590278347974</v>
      </c>
      <c r="E13" s="98"/>
      <c r="F13" s="93"/>
      <c r="G13" s="93"/>
      <c r="H13" s="96"/>
      <c r="I13" s="84"/>
      <c r="J13" s="84"/>
      <c r="K13" s="84"/>
      <c r="L13" s="84"/>
    </row>
    <row r="14" spans="1:12" ht="12.75">
      <c r="A14" s="97">
        <v>1960</v>
      </c>
      <c r="B14" s="93">
        <v>18.52461882459029</v>
      </c>
      <c r="C14" s="93">
        <v>7.144412647877032</v>
      </c>
      <c r="D14" s="94">
        <v>10.397784259778978</v>
      </c>
      <c r="E14" s="98"/>
      <c r="F14" s="93"/>
      <c r="G14" s="93"/>
      <c r="H14" s="96"/>
      <c r="I14" s="84"/>
      <c r="J14" s="84"/>
      <c r="K14" s="84"/>
      <c r="L14" s="84"/>
    </row>
    <row r="15" spans="1:12" ht="12.75">
      <c r="A15" s="97">
        <v>1961</v>
      </c>
      <c r="B15" s="93">
        <v>17.629253763642925</v>
      </c>
      <c r="C15" s="93">
        <v>6.620651557992975</v>
      </c>
      <c r="D15" s="94">
        <v>11.130473904364887</v>
      </c>
      <c r="E15" s="98"/>
      <c r="F15" s="93"/>
      <c r="G15" s="93"/>
      <c r="H15" s="96"/>
      <c r="I15" s="84"/>
      <c r="J15" s="84"/>
      <c r="K15" s="84"/>
      <c r="L15" s="84"/>
    </row>
    <row r="16" spans="1:12" ht="12.75">
      <c r="A16" s="97">
        <v>1962</v>
      </c>
      <c r="B16" s="93">
        <v>19.69622904161529</v>
      </c>
      <c r="C16" s="93">
        <v>8.559780248684254</v>
      </c>
      <c r="D16" s="94">
        <v>10.140669626129958</v>
      </c>
      <c r="E16" s="98"/>
      <c r="F16" s="93"/>
      <c r="G16" s="93"/>
      <c r="H16" s="96"/>
      <c r="I16" s="84"/>
      <c r="J16" s="84"/>
      <c r="K16" s="84"/>
      <c r="L16" s="84"/>
    </row>
    <row r="17" spans="1:12" ht="12.75">
      <c r="A17" s="97">
        <v>1963</v>
      </c>
      <c r="B17" s="93">
        <v>18.9089686138605</v>
      </c>
      <c r="C17" s="93">
        <v>7.318235676677324</v>
      </c>
      <c r="D17" s="94">
        <v>10.920781847176315</v>
      </c>
      <c r="E17" s="98"/>
      <c r="F17" s="93"/>
      <c r="G17" s="93"/>
      <c r="H17" s="96"/>
      <c r="I17" s="84"/>
      <c r="J17" s="84"/>
      <c r="K17" s="84"/>
      <c r="L17" s="84"/>
    </row>
    <row r="18" spans="1:12" ht="12.75">
      <c r="A18" s="97">
        <v>1964</v>
      </c>
      <c r="B18" s="93">
        <v>18.600429519959143</v>
      </c>
      <c r="C18" s="93">
        <v>5.8210825790068546</v>
      </c>
      <c r="D18" s="94">
        <v>11.941639437070405</v>
      </c>
      <c r="E18" s="98"/>
      <c r="F18" s="93"/>
      <c r="G18" s="93"/>
      <c r="H18" s="96"/>
      <c r="I18" s="84"/>
      <c r="J18" s="84"/>
      <c r="K18" s="84"/>
      <c r="L18" s="84"/>
    </row>
    <row r="19" spans="1:12" ht="12.75">
      <c r="A19" s="97">
        <v>1965</v>
      </c>
      <c r="B19" s="93">
        <v>19.147490288528527</v>
      </c>
      <c r="C19" s="93">
        <v>5.785078216716132</v>
      </c>
      <c r="D19" s="94">
        <v>12.359100149847766</v>
      </c>
      <c r="E19" s="98"/>
      <c r="F19" s="93"/>
      <c r="G19" s="93"/>
      <c r="H19" s="96"/>
      <c r="I19" s="84"/>
      <c r="J19" s="84"/>
      <c r="K19" s="84"/>
      <c r="L19" s="84"/>
    </row>
    <row r="20" spans="1:12" ht="12.75">
      <c r="A20" s="97">
        <v>1966</v>
      </c>
      <c r="B20" s="93">
        <v>19.17337875997978</v>
      </c>
      <c r="C20" s="93">
        <v>5.159976956815229</v>
      </c>
      <c r="D20" s="94">
        <v>12.89446433430996</v>
      </c>
      <c r="E20" s="98"/>
      <c r="F20" s="93"/>
      <c r="G20" s="93"/>
      <c r="H20" s="96"/>
      <c r="I20" s="84"/>
      <c r="J20" s="84"/>
      <c r="K20" s="84"/>
      <c r="L20" s="84"/>
    </row>
    <row r="21" spans="1:12" ht="12.75">
      <c r="A21" s="97">
        <v>1967</v>
      </c>
      <c r="B21" s="93">
        <v>19.57399831157867</v>
      </c>
      <c r="C21" s="93">
        <v>5.922949542178057</v>
      </c>
      <c r="D21" s="94">
        <v>12.988343398922009</v>
      </c>
      <c r="E21" s="98"/>
      <c r="F21" s="93"/>
      <c r="G21" s="93"/>
      <c r="H21" s="96"/>
      <c r="I21" s="84"/>
      <c r="J21" s="84"/>
      <c r="K21" s="84"/>
      <c r="L21" s="84"/>
    </row>
    <row r="22" spans="1:12" ht="12.75">
      <c r="A22" s="97">
        <v>1968</v>
      </c>
      <c r="B22" s="93">
        <v>19.698104826769313</v>
      </c>
      <c r="C22" s="93">
        <v>5.717796861119326</v>
      </c>
      <c r="D22" s="94">
        <v>13.334024281907014</v>
      </c>
      <c r="E22" s="98"/>
      <c r="F22" s="93"/>
      <c r="G22" s="93"/>
      <c r="H22" s="96"/>
      <c r="I22" s="84"/>
      <c r="J22" s="84"/>
      <c r="K22" s="84"/>
      <c r="L22" s="84"/>
    </row>
    <row r="23" spans="1:12" ht="12.75">
      <c r="A23" s="97">
        <v>1969</v>
      </c>
      <c r="B23" s="93">
        <v>18.32257314484178</v>
      </c>
      <c r="C23" s="93">
        <v>4.249382725835151</v>
      </c>
      <c r="D23" s="94">
        <v>13.381473452256868</v>
      </c>
      <c r="E23" s="98"/>
      <c r="F23" s="93"/>
      <c r="G23" s="93"/>
      <c r="H23" s="96"/>
      <c r="I23" s="84"/>
      <c r="J23" s="84"/>
      <c r="K23" s="84"/>
      <c r="L23" s="84"/>
    </row>
    <row r="24" spans="1:12" ht="12.75">
      <c r="A24" s="97">
        <v>1970</v>
      </c>
      <c r="B24" s="93">
        <v>20.292329005142182</v>
      </c>
      <c r="C24" s="93">
        <v>6.513301556740014</v>
      </c>
      <c r="D24" s="94">
        <v>12.939139214351123</v>
      </c>
      <c r="E24" s="98"/>
      <c r="F24" s="93"/>
      <c r="G24" s="93"/>
      <c r="H24" s="96"/>
      <c r="I24" s="84"/>
      <c r="J24" s="84"/>
      <c r="K24" s="84"/>
      <c r="L24" s="84"/>
    </row>
    <row r="25" spans="1:12" ht="12.75">
      <c r="A25" s="97">
        <v>1971</v>
      </c>
      <c r="B25" s="93">
        <v>20.150996107988796</v>
      </c>
      <c r="C25" s="93">
        <v>6.420816193467448</v>
      </c>
      <c r="D25" s="94">
        <v>13.395840432816126</v>
      </c>
      <c r="E25" s="98"/>
      <c r="F25" s="93"/>
      <c r="G25" s="93"/>
      <c r="H25" s="96"/>
      <c r="I25" s="84"/>
      <c r="J25" s="84"/>
      <c r="K25" s="84"/>
      <c r="L25" s="84"/>
    </row>
    <row r="26" spans="1:12" ht="12.75">
      <c r="A26" s="97">
        <v>1972</v>
      </c>
      <c r="B26" s="93">
        <v>20.57298823529412</v>
      </c>
      <c r="C26" s="93">
        <v>6.10484705882353</v>
      </c>
      <c r="D26" s="94">
        <v>13.612141176470589</v>
      </c>
      <c r="E26" s="98"/>
      <c r="F26" s="93"/>
      <c r="G26" s="93"/>
      <c r="H26" s="96"/>
      <c r="I26" s="84"/>
      <c r="J26" s="84"/>
      <c r="K26" s="84"/>
      <c r="L26" s="84"/>
    </row>
    <row r="27" spans="1:12" ht="12.75">
      <c r="A27" s="97">
        <v>1973</v>
      </c>
      <c r="B27" s="93">
        <v>20.897293025224542</v>
      </c>
      <c r="C27" s="93">
        <v>6.091271940847351</v>
      </c>
      <c r="D27" s="94">
        <v>14.161023002341238</v>
      </c>
      <c r="E27" s="98"/>
      <c r="F27" s="93"/>
      <c r="G27" s="93"/>
      <c r="H27" s="96"/>
      <c r="I27" s="84"/>
      <c r="J27" s="84"/>
      <c r="K27" s="84"/>
      <c r="L27" s="84"/>
    </row>
    <row r="28" spans="1:12" ht="12.75">
      <c r="A28" s="97">
        <v>1974</v>
      </c>
      <c r="B28" s="93">
        <v>21.751263891665033</v>
      </c>
      <c r="C28" s="93">
        <v>6.8232390310082645</v>
      </c>
      <c r="D28" s="94">
        <v>14.520111182072135</v>
      </c>
      <c r="E28" s="98"/>
      <c r="F28" s="93"/>
      <c r="G28" s="93"/>
      <c r="H28" s="96"/>
      <c r="I28" s="84"/>
      <c r="J28" s="84"/>
      <c r="K28" s="84"/>
      <c r="L28" s="84"/>
    </row>
    <row r="29" spans="1:12" ht="12.75">
      <c r="A29" s="97">
        <v>1975</v>
      </c>
      <c r="B29" s="93">
        <v>22.337856797217142</v>
      </c>
      <c r="C29" s="93">
        <v>9.054698508443833</v>
      </c>
      <c r="D29" s="94">
        <v>13.198126500762363</v>
      </c>
      <c r="E29" s="98"/>
      <c r="F29" s="93"/>
      <c r="G29" s="93"/>
      <c r="H29" s="96"/>
      <c r="I29" s="84"/>
      <c r="J29" s="84"/>
      <c r="K29" s="84"/>
      <c r="L29" s="84"/>
    </row>
    <row r="30" spans="1:12" ht="12.75">
      <c r="A30" s="97">
        <v>1976</v>
      </c>
      <c r="B30" s="93">
        <v>19.981653394365868</v>
      </c>
      <c r="C30" s="93">
        <v>6.707076880730267</v>
      </c>
      <c r="D30" s="94">
        <v>13.110995880412204</v>
      </c>
      <c r="E30" s="98"/>
      <c r="F30" s="93"/>
      <c r="G30" s="93"/>
      <c r="H30" s="96"/>
      <c r="I30" s="84"/>
      <c r="J30" s="84"/>
      <c r="K30" s="84"/>
      <c r="L30" s="84"/>
    </row>
    <row r="31" spans="1:12" ht="12.75">
      <c r="A31" s="97">
        <v>1977</v>
      </c>
      <c r="B31" s="93">
        <v>20.115430415519626</v>
      </c>
      <c r="C31" s="93">
        <v>7.19388813958739</v>
      </c>
      <c r="D31" s="94">
        <v>12.600270904187266</v>
      </c>
      <c r="E31" s="98"/>
      <c r="F31" s="93"/>
      <c r="G31" s="93"/>
      <c r="H31" s="96"/>
      <c r="I31" s="84"/>
      <c r="J31" s="84"/>
      <c r="K31" s="84"/>
      <c r="L31" s="84"/>
    </row>
    <row r="32" spans="1:12" ht="12.75">
      <c r="A32" s="97">
        <v>1978</v>
      </c>
      <c r="B32" s="93">
        <v>21.046334226807584</v>
      </c>
      <c r="C32" s="93">
        <v>7.871971880847606</v>
      </c>
      <c r="D32" s="94">
        <v>12.677767662974764</v>
      </c>
      <c r="E32" s="98"/>
      <c r="F32" s="93"/>
      <c r="G32" s="93"/>
      <c r="H32" s="96"/>
      <c r="I32" s="84"/>
      <c r="J32" s="84"/>
      <c r="K32" s="84"/>
      <c r="L32" s="84"/>
    </row>
    <row r="33" spans="1:12" ht="12.75">
      <c r="A33" s="97">
        <v>1979</v>
      </c>
      <c r="B33" s="93">
        <v>18.928722883213</v>
      </c>
      <c r="C33" s="93">
        <v>5.709691635112918</v>
      </c>
      <c r="D33" s="94">
        <v>12.974367940534624</v>
      </c>
      <c r="E33" s="98"/>
      <c r="F33" s="93"/>
      <c r="G33" s="93"/>
      <c r="H33" s="96"/>
      <c r="I33" s="84"/>
      <c r="J33" s="84"/>
      <c r="K33" s="84"/>
      <c r="L33" s="84"/>
    </row>
    <row r="34" spans="1:12" ht="12.75">
      <c r="A34" s="97">
        <v>1980</v>
      </c>
      <c r="B34" s="93">
        <v>18.315333192503658</v>
      </c>
      <c r="C34" s="93">
        <v>4.838896937619666</v>
      </c>
      <c r="D34" s="94">
        <v>13.166322631940504</v>
      </c>
      <c r="E34" s="98"/>
      <c r="F34" s="93"/>
      <c r="G34" s="93"/>
      <c r="H34" s="96"/>
      <c r="I34" s="84"/>
      <c r="J34" s="84"/>
      <c r="K34" s="84"/>
      <c r="L34" s="84"/>
    </row>
    <row r="35" spans="1:12" ht="12.75">
      <c r="A35" s="97">
        <v>1981</v>
      </c>
      <c r="B35" s="93">
        <v>18.312389646708763</v>
      </c>
      <c r="C35" s="93">
        <v>6.310285328551472</v>
      </c>
      <c r="D35" s="94">
        <v>12.139923955245639</v>
      </c>
      <c r="E35" s="98"/>
      <c r="F35" s="93"/>
      <c r="G35" s="93"/>
      <c r="H35" s="96"/>
      <c r="I35" s="84"/>
      <c r="J35" s="84"/>
      <c r="K35" s="84"/>
      <c r="L35" s="84"/>
    </row>
    <row r="36" spans="1:12" ht="12.75">
      <c r="A36" s="97">
        <v>1982</v>
      </c>
      <c r="B36" s="93">
        <v>17.42088606003173</v>
      </c>
      <c r="C36" s="93">
        <v>6.406752840174605</v>
      </c>
      <c r="D36" s="94">
        <v>11.228586144837083</v>
      </c>
      <c r="E36" s="98"/>
      <c r="F36" s="93"/>
      <c r="G36" s="93"/>
      <c r="H36" s="96"/>
      <c r="I36" s="84"/>
      <c r="J36" s="84"/>
      <c r="K36" s="84"/>
      <c r="L36" s="84"/>
    </row>
    <row r="37" spans="1:12" ht="12.75">
      <c r="A37" s="97">
        <v>1983</v>
      </c>
      <c r="B37" s="93">
        <v>16.57905089278067</v>
      </c>
      <c r="C37" s="93">
        <v>5.967395495482886</v>
      </c>
      <c r="D37" s="94">
        <v>10.654301631740925</v>
      </c>
      <c r="E37" s="98"/>
      <c r="F37" s="93"/>
      <c r="G37" s="93"/>
      <c r="H37" s="96"/>
      <c r="I37" s="84"/>
      <c r="J37" s="84"/>
      <c r="K37" s="84"/>
      <c r="L37" s="84"/>
    </row>
    <row r="38" spans="1:12" ht="12.75">
      <c r="A38" s="97">
        <v>1984</v>
      </c>
      <c r="B38" s="93">
        <v>14.973575878112259</v>
      </c>
      <c r="C38" s="93">
        <v>4.796858783316178</v>
      </c>
      <c r="D38" s="94">
        <v>10.26979400496955</v>
      </c>
      <c r="E38" s="98"/>
      <c r="F38" s="93"/>
      <c r="G38" s="93"/>
      <c r="H38" s="96"/>
      <c r="I38" s="84"/>
      <c r="J38" s="84"/>
      <c r="K38" s="84"/>
      <c r="L38" s="84"/>
    </row>
    <row r="39" spans="1:12" ht="12.75">
      <c r="A39" s="97">
        <v>1985</v>
      </c>
      <c r="B39" s="93">
        <v>14.062249382639639</v>
      </c>
      <c r="C39" s="93">
        <v>4.520046775877398</v>
      </c>
      <c r="D39" s="94">
        <v>9.713793215729009</v>
      </c>
      <c r="E39" s="98"/>
      <c r="F39" s="93"/>
      <c r="G39" s="93"/>
      <c r="H39" s="96"/>
      <c r="I39" s="84"/>
      <c r="J39" s="84"/>
      <c r="K39" s="84"/>
      <c r="L39" s="84"/>
    </row>
    <row r="40" spans="1:12" ht="12.75">
      <c r="A40" s="97">
        <v>1986</v>
      </c>
      <c r="B40" s="93">
        <v>13.066368011188894</v>
      </c>
      <c r="C40" s="93">
        <v>3.137027668002297</v>
      </c>
      <c r="D40" s="94">
        <v>9.785013098623107</v>
      </c>
      <c r="E40" s="98"/>
      <c r="F40" s="93"/>
      <c r="G40" s="93"/>
      <c r="H40" s="96"/>
      <c r="I40" s="84"/>
      <c r="J40" s="84"/>
      <c r="K40" s="84"/>
      <c r="L40" s="84"/>
    </row>
    <row r="41" spans="1:12" ht="12.75">
      <c r="A41" s="97">
        <v>1987</v>
      </c>
      <c r="B41" s="93">
        <v>11.133080612695833</v>
      </c>
      <c r="C41" s="93">
        <v>0.6295136987407495</v>
      </c>
      <c r="D41" s="94">
        <v>10.071888842070646</v>
      </c>
      <c r="E41" s="98"/>
      <c r="F41" s="93"/>
      <c r="G41" s="93"/>
      <c r="H41" s="96"/>
      <c r="I41" s="84"/>
      <c r="J41" s="84"/>
      <c r="K41" s="84"/>
      <c r="L41" s="84"/>
    </row>
    <row r="42" spans="1:12" ht="12.75">
      <c r="A42" s="97">
        <v>1988</v>
      </c>
      <c r="B42" s="93">
        <v>11.458016755006735</v>
      </c>
      <c r="C42" s="93">
        <v>1.1552916947670162</v>
      </c>
      <c r="D42" s="94">
        <v>10.358989042149693</v>
      </c>
      <c r="E42" s="98"/>
      <c r="F42" s="93"/>
      <c r="G42" s="93"/>
      <c r="H42" s="96"/>
      <c r="I42" s="84"/>
      <c r="J42" s="84"/>
      <c r="K42" s="84"/>
      <c r="L42" s="84"/>
    </row>
    <row r="43" spans="1:12" ht="12.75">
      <c r="A43" s="97">
        <v>1989</v>
      </c>
      <c r="B43" s="93">
        <v>11.869014636415757</v>
      </c>
      <c r="C43" s="93">
        <v>1.0369103228367738</v>
      </c>
      <c r="D43" s="94">
        <v>10.617320896069945</v>
      </c>
      <c r="E43" s="98"/>
      <c r="F43" s="93"/>
      <c r="G43" s="93"/>
      <c r="H43" s="96"/>
      <c r="I43" s="84"/>
      <c r="J43" s="84"/>
      <c r="K43" s="84"/>
      <c r="L43" s="84"/>
    </row>
    <row r="44" spans="1:12" ht="12.75">
      <c r="A44" s="97">
        <v>1990</v>
      </c>
      <c r="B44" s="93">
        <v>12.703288212710346</v>
      </c>
      <c r="C44" s="93">
        <v>2.4496745141839025</v>
      </c>
      <c r="D44" s="94">
        <v>10.195921788105425</v>
      </c>
      <c r="E44" s="98"/>
      <c r="F44" s="93"/>
      <c r="G44" s="93"/>
      <c r="H44" s="96"/>
      <c r="I44" s="84"/>
      <c r="J44" s="84"/>
      <c r="K44" s="84"/>
      <c r="L44" s="84"/>
    </row>
    <row r="45" spans="1:12" ht="12.75">
      <c r="A45" s="97">
        <v>1991</v>
      </c>
      <c r="B45" s="93">
        <v>13.712744390315589</v>
      </c>
      <c r="C45" s="93">
        <v>4.03351185767618</v>
      </c>
      <c r="D45" s="94">
        <v>9.298193287542343</v>
      </c>
      <c r="E45" s="98"/>
      <c r="F45" s="93"/>
      <c r="G45" s="93"/>
      <c r="H45" s="96"/>
      <c r="I45" s="84"/>
      <c r="J45" s="84"/>
      <c r="K45" s="84"/>
      <c r="L45" s="84"/>
    </row>
    <row r="46" spans="1:12" ht="12.75">
      <c r="A46" s="97">
        <v>1992</v>
      </c>
      <c r="B46" s="93">
        <v>14.433827479445311</v>
      </c>
      <c r="C46" s="93">
        <v>5.558663001187431</v>
      </c>
      <c r="D46" s="94">
        <v>8.69622541507457</v>
      </c>
      <c r="E46" s="98"/>
      <c r="F46" s="93"/>
      <c r="G46" s="93"/>
      <c r="H46" s="96"/>
      <c r="I46" s="84"/>
      <c r="J46" s="84"/>
      <c r="K46" s="84"/>
      <c r="L46" s="84"/>
    </row>
    <row r="47" spans="1:12" ht="12.75">
      <c r="A47" s="97">
        <v>1993</v>
      </c>
      <c r="B47" s="93">
        <v>15.27508636056153</v>
      </c>
      <c r="C47" s="93">
        <v>6.92276849157245</v>
      </c>
      <c r="D47" s="94">
        <v>8.125435280323568</v>
      </c>
      <c r="E47" s="98"/>
      <c r="F47" s="93"/>
      <c r="G47" s="93"/>
      <c r="H47" s="96"/>
      <c r="I47" s="84"/>
      <c r="J47" s="84"/>
      <c r="K47" s="84"/>
      <c r="L47" s="84"/>
    </row>
    <row r="48" spans="1:12" ht="12.75">
      <c r="A48" s="97">
        <v>1994</v>
      </c>
      <c r="B48" s="93">
        <v>14.63508349627826</v>
      </c>
      <c r="C48" s="93">
        <v>5.7816078389456464</v>
      </c>
      <c r="D48" s="94">
        <v>8.47857981162361</v>
      </c>
      <c r="E48" s="98"/>
      <c r="F48" s="93"/>
      <c r="G48" s="93"/>
      <c r="H48" s="96"/>
      <c r="I48" s="84"/>
      <c r="J48" s="84"/>
      <c r="K48" s="84"/>
      <c r="L48" s="84"/>
    </row>
    <row r="49" spans="1:12" ht="12.75">
      <c r="A49" s="97">
        <v>1995</v>
      </c>
      <c r="B49" s="93">
        <v>15.782158709416358</v>
      </c>
      <c r="C49" s="93">
        <v>7.224978071840796</v>
      </c>
      <c r="D49" s="94">
        <v>8.31241600151675</v>
      </c>
      <c r="E49" s="98"/>
      <c r="F49" s="93"/>
      <c r="G49" s="93"/>
      <c r="H49" s="96"/>
      <c r="I49" s="84"/>
      <c r="J49" s="84"/>
      <c r="K49" s="84"/>
      <c r="L49" s="84"/>
    </row>
    <row r="50" spans="1:12" ht="12.75">
      <c r="A50" s="97">
        <v>1996</v>
      </c>
      <c r="B50" s="93">
        <v>14.786213682673957</v>
      </c>
      <c r="C50" s="93">
        <v>6.098501166924537</v>
      </c>
      <c r="D50" s="94">
        <v>8.078714022948889</v>
      </c>
      <c r="E50" s="98"/>
      <c r="F50" s="93"/>
      <c r="G50" s="93"/>
      <c r="H50" s="96"/>
      <c r="I50" s="84"/>
      <c r="J50" s="84"/>
      <c r="K50" s="84"/>
      <c r="L50" s="84"/>
    </row>
    <row r="51" spans="1:12" ht="12.75">
      <c r="A51" s="97">
        <v>1997</v>
      </c>
      <c r="B51" s="93">
        <v>15.780523130645559</v>
      </c>
      <c r="C51" s="93">
        <v>7.3083208652374685</v>
      </c>
      <c r="D51" s="94">
        <v>8.122567013626552</v>
      </c>
      <c r="E51" s="98"/>
      <c r="F51" s="93"/>
      <c r="G51" s="93"/>
      <c r="H51" s="96"/>
      <c r="I51" s="84"/>
      <c r="J51" s="84"/>
      <c r="K51" s="84"/>
      <c r="L51" s="84"/>
    </row>
    <row r="52" spans="1:12" ht="12.75">
      <c r="A52" s="97">
        <v>1998</v>
      </c>
      <c r="B52" s="93">
        <v>15.17264287994154</v>
      </c>
      <c r="C52" s="93">
        <v>6.554686054777819</v>
      </c>
      <c r="D52" s="94">
        <v>8.253071268744257</v>
      </c>
      <c r="E52" s="98"/>
      <c r="F52" s="93"/>
      <c r="G52" s="93"/>
      <c r="H52" s="96"/>
      <c r="I52" s="84"/>
      <c r="J52" s="84"/>
      <c r="K52" s="84"/>
      <c r="L52" s="84"/>
    </row>
    <row r="53" spans="1:12" ht="12.75">
      <c r="A53" s="97">
        <v>1999</v>
      </c>
      <c r="B53" s="93">
        <v>14.626652071199816</v>
      </c>
      <c r="C53" s="93">
        <v>5.84992597121902</v>
      </c>
      <c r="D53" s="94">
        <v>8.660061732631661</v>
      </c>
      <c r="E53" s="98"/>
      <c r="F53" s="93"/>
      <c r="G53" s="93"/>
      <c r="H53" s="96"/>
      <c r="I53" s="84"/>
      <c r="J53" s="84"/>
      <c r="K53" s="84"/>
      <c r="L53" s="84"/>
    </row>
    <row r="54" spans="1:12" ht="12.75">
      <c r="A54" s="97">
        <v>2000</v>
      </c>
      <c r="B54" s="93">
        <v>14.36044249951197</v>
      </c>
      <c r="C54" s="93">
        <v>6.1367853366718315</v>
      </c>
      <c r="D54" s="94">
        <v>8.446135366381199</v>
      </c>
      <c r="E54" s="98"/>
      <c r="F54" s="93"/>
      <c r="G54" s="93"/>
      <c r="H54" s="96"/>
      <c r="I54" s="84"/>
      <c r="J54" s="84"/>
      <c r="K54" s="84"/>
      <c r="L54" s="84"/>
    </row>
    <row r="55" spans="1:12" ht="12.75">
      <c r="A55" s="97">
        <v>2001</v>
      </c>
      <c r="B55" s="93">
        <v>15.044041858159604</v>
      </c>
      <c r="C55" s="93">
        <v>6.282969992383125</v>
      </c>
      <c r="D55" s="94">
        <v>8.324675585525835</v>
      </c>
      <c r="E55" s="98"/>
      <c r="F55" s="93"/>
      <c r="G55" s="93"/>
      <c r="H55" s="96"/>
      <c r="I55" s="84"/>
      <c r="J55" s="84"/>
      <c r="K55" s="84"/>
      <c r="L55" s="84"/>
    </row>
    <row r="56" spans="1:12" ht="12.75">
      <c r="A56" s="97">
        <v>2002</v>
      </c>
      <c r="B56" s="93">
        <v>16.305893246512735</v>
      </c>
      <c r="C56" s="93">
        <v>7.616247000607344</v>
      </c>
      <c r="D56" s="94">
        <v>8.279707677449544</v>
      </c>
      <c r="E56" s="98"/>
      <c r="F56" s="93"/>
      <c r="G56" s="93"/>
      <c r="H56" s="96"/>
      <c r="I56" s="84"/>
      <c r="J56" s="84"/>
      <c r="K56" s="84"/>
      <c r="L56" s="84"/>
    </row>
    <row r="57" spans="1:12" ht="12.75">
      <c r="A57" s="97">
        <v>2003</v>
      </c>
      <c r="B57" s="93">
        <v>15.282883131664786</v>
      </c>
      <c r="C57" s="93">
        <v>6.209055417853828</v>
      </c>
      <c r="D57" s="94">
        <v>8.517715946152713</v>
      </c>
      <c r="E57" s="98"/>
      <c r="F57" s="93"/>
      <c r="G57" s="93"/>
      <c r="H57" s="96"/>
      <c r="I57" s="84"/>
      <c r="J57" s="84"/>
      <c r="K57" s="84"/>
      <c r="L57" s="84"/>
    </row>
    <row r="58" spans="1:12" ht="12.75">
      <c r="A58" s="97">
        <v>2004</v>
      </c>
      <c r="B58" s="93">
        <v>15.704096104229135</v>
      </c>
      <c r="C58" s="93">
        <v>6.073933668325633</v>
      </c>
      <c r="D58" s="94">
        <v>8.768011151574703</v>
      </c>
      <c r="E58" s="98"/>
      <c r="F58" s="93"/>
      <c r="G58" s="93"/>
      <c r="H58" s="96"/>
      <c r="I58" s="84"/>
      <c r="J58" s="84"/>
      <c r="K58" s="84"/>
      <c r="L58" s="84"/>
    </row>
    <row r="59" spans="1:12" ht="12.75">
      <c r="A59" s="97">
        <v>2005</v>
      </c>
      <c r="B59" s="93">
        <v>14.66357220271571</v>
      </c>
      <c r="C59" s="93">
        <v>4.928728473686411</v>
      </c>
      <c r="D59" s="94">
        <v>9.257180729394413</v>
      </c>
      <c r="E59" s="98"/>
      <c r="F59" s="93"/>
      <c r="G59" s="93"/>
      <c r="H59" s="96"/>
      <c r="I59" s="84"/>
      <c r="J59" s="84"/>
      <c r="K59" s="84"/>
      <c r="L59" s="84"/>
    </row>
    <row r="60" spans="1:12" ht="12.75">
      <c r="A60" s="97">
        <v>2006</v>
      </c>
      <c r="B60" s="93">
        <v>14.903470398346125</v>
      </c>
      <c r="C60" s="93">
        <v>4.864920383716785</v>
      </c>
      <c r="D60" s="94">
        <v>9.859533980417051</v>
      </c>
      <c r="E60" s="98"/>
      <c r="F60" s="93"/>
      <c r="G60" s="93"/>
      <c r="H60" s="96"/>
      <c r="I60" s="84"/>
      <c r="J60" s="84"/>
      <c r="K60" s="84"/>
      <c r="L60" s="84"/>
    </row>
    <row r="61" spans="1:12" ht="12.75">
      <c r="A61" s="97">
        <v>2007</v>
      </c>
      <c r="B61" s="93">
        <v>15.444957605179352</v>
      </c>
      <c r="C61" s="93">
        <v>5.012642449778612</v>
      </c>
      <c r="D61" s="94">
        <v>10.25250197962791</v>
      </c>
      <c r="E61" s="98"/>
      <c r="F61" s="93"/>
      <c r="G61" s="93"/>
      <c r="H61" s="96"/>
      <c r="I61" s="84"/>
      <c r="J61" s="84"/>
      <c r="K61" s="84"/>
      <c r="L61" s="84"/>
    </row>
    <row r="62" spans="1:12" ht="12.75">
      <c r="A62" s="97">
        <v>2008</v>
      </c>
      <c r="B62" s="93">
        <v>15.5</v>
      </c>
      <c r="C62" s="93">
        <v>5</v>
      </c>
      <c r="D62" s="94">
        <v>10.203017673387652</v>
      </c>
      <c r="E62" s="98"/>
      <c r="F62" s="99"/>
      <c r="G62" s="100"/>
      <c r="H62" s="100"/>
      <c r="I62" s="101"/>
      <c r="J62" s="84"/>
      <c r="K62" s="84"/>
      <c r="L62" s="84"/>
    </row>
    <row r="63" spans="1:12" ht="12.75">
      <c r="A63" s="97">
        <v>2009</v>
      </c>
      <c r="B63" s="93">
        <v>16.4</v>
      </c>
      <c r="C63" s="93">
        <v>7.4</v>
      </c>
      <c r="D63" s="94">
        <v>8.7973296477337</v>
      </c>
      <c r="E63" s="98"/>
      <c r="J63" s="84"/>
      <c r="K63" s="84"/>
      <c r="L63" s="84"/>
    </row>
    <row r="64" spans="1:12" ht="12.75">
      <c r="A64" s="97">
        <v>2010</v>
      </c>
      <c r="B64" s="93">
        <v>15.9</v>
      </c>
      <c r="C64" s="93">
        <v>7</v>
      </c>
      <c r="D64" s="102">
        <v>8.699766166041947</v>
      </c>
      <c r="E64" s="98"/>
      <c r="J64" s="84"/>
      <c r="K64" s="84"/>
      <c r="L64" s="84"/>
    </row>
    <row r="65" spans="1:12" ht="12.75">
      <c r="A65" s="103" t="s">
        <v>113</v>
      </c>
      <c r="B65" s="104">
        <v>16</v>
      </c>
      <c r="C65" s="104">
        <v>6.7</v>
      </c>
      <c r="D65" s="102">
        <v>8.99628776931768</v>
      </c>
      <c r="E65" s="98"/>
      <c r="J65" s="84"/>
      <c r="K65" s="84"/>
      <c r="L65" s="84"/>
    </row>
    <row r="66" spans="1:12" ht="12.75">
      <c r="A66" s="97">
        <v>2012</v>
      </c>
      <c r="B66" s="104">
        <v>15.6</v>
      </c>
      <c r="C66" s="104">
        <v>6.1</v>
      </c>
      <c r="D66" s="102">
        <v>9.076407899298292</v>
      </c>
      <c r="E66" s="98"/>
      <c r="F66" s="93"/>
      <c r="G66" s="93"/>
      <c r="H66" s="91"/>
      <c r="I66" s="102"/>
      <c r="J66" s="84"/>
      <c r="K66" s="84"/>
      <c r="L66" s="84"/>
    </row>
    <row r="67" spans="1:7" ht="12.75">
      <c r="A67" s="105" t="s">
        <v>114</v>
      </c>
      <c r="B67" s="106"/>
      <c r="C67" s="106"/>
      <c r="D67" s="84"/>
      <c r="E67" s="84"/>
      <c r="F67" s="84"/>
      <c r="G67" s="84"/>
    </row>
    <row r="68" spans="1:7" ht="12.75">
      <c r="A68" s="105" t="s">
        <v>115</v>
      </c>
      <c r="B68" s="106"/>
      <c r="C68" s="106"/>
      <c r="D68" s="84"/>
      <c r="E68" s="84"/>
      <c r="F68" s="84"/>
      <c r="G68" s="84"/>
    </row>
    <row r="69" spans="1:12" ht="12.75">
      <c r="A69" s="105" t="s">
        <v>116</v>
      </c>
      <c r="B69" s="93"/>
      <c r="C69" s="93"/>
      <c r="D69" s="84"/>
      <c r="I69" s="106"/>
      <c r="J69" s="106"/>
      <c r="K69" s="106"/>
      <c r="L69" s="106"/>
    </row>
    <row r="70" spans="1:12" ht="12.75">
      <c r="A70" s="105" t="s">
        <v>117</v>
      </c>
      <c r="B70" s="93"/>
      <c r="C70" s="93"/>
      <c r="D70" s="84"/>
      <c r="I70" s="106"/>
      <c r="J70" s="106"/>
      <c r="K70" s="106"/>
      <c r="L70" s="106"/>
    </row>
    <row r="71" ht="12.75">
      <c r="A71" s="108" t="s">
        <v>118</v>
      </c>
    </row>
    <row r="72" ht="12.75">
      <c r="A72" s="109" t="s">
        <v>119</v>
      </c>
    </row>
  </sheetData>
  <sheetProtection/>
  <printOptions/>
  <pageMargins left="0" right="0" top="0.3937007874015748" bottom="0" header="0" footer="0"/>
  <pageSetup horizontalDpi="600" verticalDpi="600" orientation="portrait" paperSize="9" scale="81" r:id="rId1"/>
  <rowBreaks count="1" manualBreakCount="1">
    <brk id="76" max="5" man="1"/>
  </rowBreaks>
</worksheet>
</file>

<file path=xl/worksheets/sheet11.xml><?xml version="1.0" encoding="utf-8"?>
<worksheet xmlns="http://schemas.openxmlformats.org/spreadsheetml/2006/main" xmlns:r="http://schemas.openxmlformats.org/officeDocument/2006/relationships">
  <dimension ref="B3:G79"/>
  <sheetViews>
    <sheetView zoomScale="70" zoomScaleNormal="70" zoomScalePageLayoutView="0" workbookViewId="0" topLeftCell="A1">
      <selection activeCell="A1" sqref="A1"/>
    </sheetView>
  </sheetViews>
  <sheetFormatPr defaultColWidth="11.421875" defaultRowHeight="15"/>
  <cols>
    <col min="1" max="1" width="11.421875" style="146" customWidth="1"/>
    <col min="2" max="2" width="35.00390625" style="146" customWidth="1"/>
    <col min="3" max="3" width="105.7109375" style="146" customWidth="1"/>
    <col min="4" max="4" width="61.140625" style="146" customWidth="1"/>
    <col min="5" max="5" width="53.421875" style="146" customWidth="1"/>
    <col min="6" max="6" width="51.8515625" style="146" customWidth="1"/>
    <col min="7" max="16384" width="11.421875" style="146" customWidth="1"/>
  </cols>
  <sheetData>
    <row r="3" ht="15">
      <c r="B3" s="113" t="s">
        <v>161</v>
      </c>
    </row>
    <row r="5" ht="15">
      <c r="B5" s="146" t="s">
        <v>144</v>
      </c>
    </row>
    <row r="7" spans="2:6" ht="15">
      <c r="B7" s="147" t="s">
        <v>143</v>
      </c>
      <c r="C7" s="147" t="s">
        <v>124</v>
      </c>
      <c r="D7" s="147" t="s">
        <v>125</v>
      </c>
      <c r="E7" s="147" t="s">
        <v>126</v>
      </c>
      <c r="F7" s="147" t="s">
        <v>127</v>
      </c>
    </row>
    <row r="8" spans="2:6" ht="45">
      <c r="B8" s="148" t="s">
        <v>128</v>
      </c>
      <c r="C8" s="149">
        <v>0.075</v>
      </c>
      <c r="D8" s="149">
        <v>0.051</v>
      </c>
      <c r="E8" s="149">
        <v>0.005</v>
      </c>
      <c r="F8" s="150" t="s">
        <v>129</v>
      </c>
    </row>
    <row r="9" spans="2:6" ht="45">
      <c r="B9" s="148" t="s">
        <v>130</v>
      </c>
      <c r="C9" s="149">
        <v>0.075</v>
      </c>
      <c r="D9" s="149">
        <v>0.051</v>
      </c>
      <c r="E9" s="149">
        <v>0.005</v>
      </c>
      <c r="F9" s="150" t="s">
        <v>131</v>
      </c>
    </row>
    <row r="10" spans="2:6" ht="15">
      <c r="B10" s="148" t="s">
        <v>132</v>
      </c>
      <c r="C10" s="224" t="s">
        <v>134</v>
      </c>
      <c r="D10" s="225">
        <v>0.038</v>
      </c>
      <c r="E10" s="225">
        <v>0.005</v>
      </c>
      <c r="F10" s="226" t="s">
        <v>129</v>
      </c>
    </row>
    <row r="11" spans="2:6" ht="30">
      <c r="B11" s="148" t="s">
        <v>133</v>
      </c>
      <c r="C11" s="224"/>
      <c r="D11" s="225"/>
      <c r="E11" s="225"/>
      <c r="F11" s="226"/>
    </row>
    <row r="12" spans="2:6" ht="15">
      <c r="B12" s="148" t="s">
        <v>135</v>
      </c>
      <c r="C12" s="151" t="s">
        <v>136</v>
      </c>
      <c r="D12" s="149">
        <v>0.042</v>
      </c>
      <c r="E12" s="149">
        <v>0.005</v>
      </c>
      <c r="F12" s="150" t="s">
        <v>131</v>
      </c>
    </row>
    <row r="13" spans="2:6" ht="15">
      <c r="B13" s="148" t="s">
        <v>137</v>
      </c>
      <c r="C13" s="151" t="s">
        <v>138</v>
      </c>
      <c r="D13" s="149">
        <v>0.042</v>
      </c>
      <c r="E13" s="149">
        <v>0.005</v>
      </c>
      <c r="F13" s="150" t="s">
        <v>139</v>
      </c>
    </row>
    <row r="14" spans="2:6" ht="60">
      <c r="B14" s="148" t="s">
        <v>140</v>
      </c>
      <c r="C14" s="149">
        <v>0.066</v>
      </c>
      <c r="D14" s="149">
        <v>0.042</v>
      </c>
      <c r="E14" s="149">
        <v>0.005</v>
      </c>
      <c r="F14" s="150" t="s">
        <v>139</v>
      </c>
    </row>
    <row r="15" spans="2:6" ht="30">
      <c r="B15" s="148" t="s">
        <v>141</v>
      </c>
      <c r="C15" s="149">
        <v>0.062</v>
      </c>
      <c r="D15" s="149">
        <v>0.038</v>
      </c>
      <c r="E15" s="149">
        <v>0.005</v>
      </c>
      <c r="F15" s="150" t="s">
        <v>142</v>
      </c>
    </row>
    <row r="17" spans="2:4" ht="15">
      <c r="B17" s="222" t="s">
        <v>160</v>
      </c>
      <c r="C17" s="223"/>
      <c r="D17" s="223"/>
    </row>
    <row r="18" spans="2:4" ht="15">
      <c r="B18" s="152" t="s">
        <v>145</v>
      </c>
      <c r="C18" s="152">
        <v>2012</v>
      </c>
      <c r="D18" s="152">
        <v>2013</v>
      </c>
    </row>
    <row r="19" spans="2:4" ht="15">
      <c r="B19" s="153" t="s">
        <v>27</v>
      </c>
      <c r="C19" s="154" t="s">
        <v>146</v>
      </c>
      <c r="D19" s="154" t="s">
        <v>147</v>
      </c>
    </row>
    <row r="20" spans="2:4" ht="15">
      <c r="B20" s="153" t="s">
        <v>148</v>
      </c>
      <c r="C20" s="154" t="s">
        <v>149</v>
      </c>
      <c r="D20" s="154" t="s">
        <v>150</v>
      </c>
    </row>
    <row r="21" spans="2:4" ht="15">
      <c r="B21" s="153" t="s">
        <v>151</v>
      </c>
      <c r="C21" s="154" t="s">
        <v>152</v>
      </c>
      <c r="D21" s="154" t="s">
        <v>153</v>
      </c>
    </row>
    <row r="22" spans="2:4" ht="15">
      <c r="B22" s="153" t="s">
        <v>154</v>
      </c>
      <c r="C22" s="154" t="s">
        <v>155</v>
      </c>
      <c r="D22" s="154" t="s">
        <v>156</v>
      </c>
    </row>
    <row r="23" spans="2:4" ht="15">
      <c r="B23" s="153" t="s">
        <v>157</v>
      </c>
      <c r="C23" s="154" t="s">
        <v>158</v>
      </c>
      <c r="D23" s="154" t="s">
        <v>159</v>
      </c>
    </row>
    <row r="26" ht="15">
      <c r="B26" s="113" t="s">
        <v>162</v>
      </c>
    </row>
    <row r="28" ht="15">
      <c r="B28" t="s">
        <v>169</v>
      </c>
    </row>
    <row r="30" spans="2:3" ht="15">
      <c r="B30" s="144" t="s">
        <v>282</v>
      </c>
      <c r="C30" s="144" t="s">
        <v>281</v>
      </c>
    </row>
    <row r="31" spans="2:3" ht="15">
      <c r="B31" s="114" t="s">
        <v>170</v>
      </c>
      <c r="C31" s="161" t="s">
        <v>163</v>
      </c>
    </row>
    <row r="32" spans="2:3" ht="15">
      <c r="B32" s="114" t="s">
        <v>171</v>
      </c>
      <c r="C32" s="161" t="s">
        <v>164</v>
      </c>
    </row>
    <row r="33" spans="2:3" ht="15">
      <c r="B33" s="114" t="s">
        <v>172</v>
      </c>
      <c r="C33" s="161" t="s">
        <v>165</v>
      </c>
    </row>
    <row r="34" spans="2:3" ht="15">
      <c r="B34" s="114" t="s">
        <v>173</v>
      </c>
      <c r="C34" s="161" t="s">
        <v>166</v>
      </c>
    </row>
    <row r="35" spans="2:3" ht="15">
      <c r="B35" s="114" t="s">
        <v>174</v>
      </c>
      <c r="C35" s="161" t="s">
        <v>167</v>
      </c>
    </row>
    <row r="36" spans="2:3" ht="15">
      <c r="B36" s="114" t="s">
        <v>175</v>
      </c>
      <c r="C36" s="161" t="s">
        <v>168</v>
      </c>
    </row>
    <row r="37" ht="15">
      <c r="B37" s="155"/>
    </row>
    <row r="39" ht="15">
      <c r="B39" s="113" t="s">
        <v>284</v>
      </c>
    </row>
    <row r="41" ht="15">
      <c r="B41" s="146" t="s">
        <v>195</v>
      </c>
    </row>
    <row r="43" ht="15">
      <c r="B43" s="157" t="s">
        <v>193</v>
      </c>
    </row>
    <row r="44" ht="15">
      <c r="B44" s="146" t="s">
        <v>194</v>
      </c>
    </row>
    <row r="46" spans="2:3" ht="15">
      <c r="B46" s="163" t="s">
        <v>282</v>
      </c>
      <c r="C46" s="143" t="s">
        <v>196</v>
      </c>
    </row>
    <row r="47" spans="2:3" ht="60">
      <c r="B47" s="160" t="s">
        <v>170</v>
      </c>
      <c r="C47" s="161" t="s">
        <v>283</v>
      </c>
    </row>
    <row r="48" spans="2:3" ht="90">
      <c r="B48" s="160" t="s">
        <v>171</v>
      </c>
      <c r="C48" s="162" t="s">
        <v>278</v>
      </c>
    </row>
    <row r="49" spans="2:3" ht="90">
      <c r="B49" s="160" t="s">
        <v>172</v>
      </c>
      <c r="C49" s="161" t="s">
        <v>279</v>
      </c>
    </row>
    <row r="50" spans="2:3" ht="60">
      <c r="B50" s="160" t="s">
        <v>173</v>
      </c>
      <c r="C50" s="161" t="s">
        <v>280</v>
      </c>
    </row>
    <row r="51" ht="15">
      <c r="B51" s="156"/>
    </row>
    <row r="52" ht="15">
      <c r="B52" s="113" t="s">
        <v>285</v>
      </c>
    </row>
    <row r="54" ht="15">
      <c r="B54" s="146" t="s">
        <v>208</v>
      </c>
    </row>
    <row r="56" ht="15">
      <c r="B56" s="167" t="s">
        <v>277</v>
      </c>
    </row>
    <row r="57" ht="45">
      <c r="B57" s="168" t="s">
        <v>205</v>
      </c>
    </row>
    <row r="58" ht="30">
      <c r="B58" s="168" t="s">
        <v>206</v>
      </c>
    </row>
    <row r="59" ht="30">
      <c r="B59" s="168" t="s">
        <v>207</v>
      </c>
    </row>
    <row r="62" spans="2:5" ht="15">
      <c r="B62" s="170" t="s">
        <v>293</v>
      </c>
      <c r="C62" s="171" t="s">
        <v>303</v>
      </c>
      <c r="D62" s="171" t="s">
        <v>304</v>
      </c>
      <c r="E62" s="171" t="s">
        <v>305</v>
      </c>
    </row>
    <row r="63" spans="2:7" ht="30">
      <c r="B63" s="160" t="s">
        <v>294</v>
      </c>
      <c r="C63" s="161" t="s">
        <v>297</v>
      </c>
      <c r="D63" s="161" t="s">
        <v>301</v>
      </c>
      <c r="E63" s="169" t="s">
        <v>209</v>
      </c>
      <c r="F63" s="155"/>
      <c r="G63" s="155"/>
    </row>
    <row r="64" spans="2:7" ht="32.25">
      <c r="B64" s="160" t="s">
        <v>295</v>
      </c>
      <c r="C64" s="161" t="s">
        <v>298</v>
      </c>
      <c r="D64" s="161" t="s">
        <v>302</v>
      </c>
      <c r="E64" s="169" t="s">
        <v>210</v>
      </c>
      <c r="F64" s="155"/>
      <c r="G64" s="155"/>
    </row>
    <row r="65" spans="2:7" ht="15">
      <c r="B65" s="160" t="s">
        <v>296</v>
      </c>
      <c r="C65" s="161" t="s">
        <v>299</v>
      </c>
      <c r="D65" s="161" t="s">
        <v>300</v>
      </c>
      <c r="E65" s="169" t="s">
        <v>211</v>
      </c>
      <c r="F65" s="159"/>
      <c r="G65" s="159"/>
    </row>
    <row r="68" spans="2:6" ht="15">
      <c r="B68" s="113" t="s">
        <v>235</v>
      </c>
      <c r="F68" s="158"/>
    </row>
    <row r="70" ht="15">
      <c r="B70" s="146" t="s">
        <v>238</v>
      </c>
    </row>
    <row r="72" spans="2:3" ht="15">
      <c r="B72" s="164" t="s">
        <v>236</v>
      </c>
      <c r="C72" s="164" t="s">
        <v>237</v>
      </c>
    </row>
    <row r="73" spans="2:3" ht="15">
      <c r="B73" s="165" t="s">
        <v>286</v>
      </c>
      <c r="C73" s="166">
        <v>0.05</v>
      </c>
    </row>
    <row r="74" spans="2:3" ht="15">
      <c r="B74" s="165" t="s">
        <v>287</v>
      </c>
      <c r="C74" s="166">
        <v>0.1</v>
      </c>
    </row>
    <row r="75" spans="2:3" ht="15">
      <c r="B75" s="165" t="s">
        <v>288</v>
      </c>
      <c r="C75" s="166">
        <v>0.15</v>
      </c>
    </row>
    <row r="76" spans="2:3" ht="15">
      <c r="B76" s="165" t="s">
        <v>289</v>
      </c>
      <c r="C76" s="166">
        <v>0.2</v>
      </c>
    </row>
    <row r="77" spans="2:3" ht="15">
      <c r="B77" s="165" t="s">
        <v>290</v>
      </c>
      <c r="C77" s="166">
        <v>0.3</v>
      </c>
    </row>
    <row r="78" spans="2:3" ht="15">
      <c r="B78" s="165" t="s">
        <v>291</v>
      </c>
      <c r="C78" s="166">
        <v>0.4</v>
      </c>
    </row>
    <row r="79" spans="2:3" ht="15">
      <c r="B79" s="165" t="s">
        <v>292</v>
      </c>
      <c r="C79" s="166">
        <v>0.45</v>
      </c>
    </row>
  </sheetData>
  <sheetProtection/>
  <mergeCells count="5">
    <mergeCell ref="B17:D17"/>
    <mergeCell ref="C10:C11"/>
    <mergeCell ref="D10:D11"/>
    <mergeCell ref="E10:E11"/>
    <mergeCell ref="F10:F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BC103"/>
  <sheetViews>
    <sheetView zoomScale="85" zoomScaleNormal="85" zoomScalePageLayoutView="0" workbookViewId="0" topLeftCell="A27">
      <selection activeCell="D38" sqref="D38"/>
    </sheetView>
  </sheetViews>
  <sheetFormatPr defaultColWidth="11.421875" defaultRowHeight="15"/>
  <cols>
    <col min="1" max="1" width="11.421875" style="0" customWidth="1"/>
    <col min="2" max="2" width="36.421875" style="0" bestFit="1" customWidth="1"/>
  </cols>
  <sheetData>
    <row r="2" ht="15">
      <c r="B2" s="113" t="s">
        <v>245</v>
      </c>
    </row>
    <row r="3" ht="15">
      <c r="B3" s="113"/>
    </row>
    <row r="4" spans="2:53" ht="15">
      <c r="B4" s="144" t="s">
        <v>27</v>
      </c>
      <c r="C4" s="144">
        <v>2013</v>
      </c>
      <c r="D4" s="144">
        <f>C4+1</f>
        <v>2014</v>
      </c>
      <c r="E4" s="144">
        <f aca="true" t="shared" si="0" ref="E4:BA4">D4+1</f>
        <v>2015</v>
      </c>
      <c r="F4" s="144">
        <f t="shared" si="0"/>
        <v>2016</v>
      </c>
      <c r="G4" s="144">
        <f t="shared" si="0"/>
        <v>2017</v>
      </c>
      <c r="H4" s="144">
        <f t="shared" si="0"/>
        <v>2018</v>
      </c>
      <c r="I4" s="144">
        <f t="shared" si="0"/>
        <v>2019</v>
      </c>
      <c r="J4" s="144">
        <f t="shared" si="0"/>
        <v>2020</v>
      </c>
      <c r="K4" s="144">
        <f t="shared" si="0"/>
        <v>2021</v>
      </c>
      <c r="L4" s="144">
        <f t="shared" si="0"/>
        <v>2022</v>
      </c>
      <c r="M4" s="144">
        <f t="shared" si="0"/>
        <v>2023</v>
      </c>
      <c r="N4" s="144">
        <f t="shared" si="0"/>
        <v>2024</v>
      </c>
      <c r="O4" s="144">
        <f t="shared" si="0"/>
        <v>2025</v>
      </c>
      <c r="P4" s="144">
        <f t="shared" si="0"/>
        <v>2026</v>
      </c>
      <c r="Q4" s="144">
        <f t="shared" si="0"/>
        <v>2027</v>
      </c>
      <c r="R4" s="144">
        <f t="shared" si="0"/>
        <v>2028</v>
      </c>
      <c r="S4" s="144">
        <f t="shared" si="0"/>
        <v>2029</v>
      </c>
      <c r="T4" s="144">
        <f t="shared" si="0"/>
        <v>2030</v>
      </c>
      <c r="U4" s="144">
        <f t="shared" si="0"/>
        <v>2031</v>
      </c>
      <c r="V4" s="144">
        <f t="shared" si="0"/>
        <v>2032</v>
      </c>
      <c r="W4" s="144">
        <f t="shared" si="0"/>
        <v>2033</v>
      </c>
      <c r="X4" s="144">
        <f t="shared" si="0"/>
        <v>2034</v>
      </c>
      <c r="Y4" s="144">
        <f t="shared" si="0"/>
        <v>2035</v>
      </c>
      <c r="Z4" s="144">
        <f t="shared" si="0"/>
        <v>2036</v>
      </c>
      <c r="AA4" s="144">
        <f t="shared" si="0"/>
        <v>2037</v>
      </c>
      <c r="AB4" s="144">
        <f t="shared" si="0"/>
        <v>2038</v>
      </c>
      <c r="AC4" s="144">
        <f t="shared" si="0"/>
        <v>2039</v>
      </c>
      <c r="AD4" s="144">
        <f t="shared" si="0"/>
        <v>2040</v>
      </c>
      <c r="AE4" s="144">
        <f t="shared" si="0"/>
        <v>2041</v>
      </c>
      <c r="AF4" s="144">
        <f t="shared" si="0"/>
        <v>2042</v>
      </c>
      <c r="AG4" s="144">
        <f t="shared" si="0"/>
        <v>2043</v>
      </c>
      <c r="AH4" s="144">
        <f t="shared" si="0"/>
        <v>2044</v>
      </c>
      <c r="AI4" s="144">
        <f t="shared" si="0"/>
        <v>2045</v>
      </c>
      <c r="AJ4" s="144">
        <f t="shared" si="0"/>
        <v>2046</v>
      </c>
      <c r="AK4" s="144">
        <f t="shared" si="0"/>
        <v>2047</v>
      </c>
      <c r="AL4" s="144">
        <f t="shared" si="0"/>
        <v>2048</v>
      </c>
      <c r="AM4" s="144">
        <f t="shared" si="0"/>
        <v>2049</v>
      </c>
      <c r="AN4" s="144">
        <f t="shared" si="0"/>
        <v>2050</v>
      </c>
      <c r="AO4" s="144">
        <f t="shared" si="0"/>
        <v>2051</v>
      </c>
      <c r="AP4" s="144">
        <f t="shared" si="0"/>
        <v>2052</v>
      </c>
      <c r="AQ4" s="144">
        <f t="shared" si="0"/>
        <v>2053</v>
      </c>
      <c r="AR4" s="144">
        <f t="shared" si="0"/>
        <v>2054</v>
      </c>
      <c r="AS4" s="144">
        <f t="shared" si="0"/>
        <v>2055</v>
      </c>
      <c r="AT4" s="144">
        <f t="shared" si="0"/>
        <v>2056</v>
      </c>
      <c r="AU4" s="144">
        <f t="shared" si="0"/>
        <v>2057</v>
      </c>
      <c r="AV4" s="144">
        <f t="shared" si="0"/>
        <v>2058</v>
      </c>
      <c r="AW4" s="144">
        <f t="shared" si="0"/>
        <v>2059</v>
      </c>
      <c r="AX4" s="144">
        <f t="shared" si="0"/>
        <v>2060</v>
      </c>
      <c r="AY4" s="144">
        <f t="shared" si="0"/>
        <v>2061</v>
      </c>
      <c r="AZ4" s="144">
        <f t="shared" si="0"/>
        <v>2062</v>
      </c>
      <c r="BA4" s="144">
        <f t="shared" si="0"/>
        <v>2063</v>
      </c>
    </row>
    <row r="5" spans="2:53" ht="15">
      <c r="B5" s="114" t="s">
        <v>1</v>
      </c>
      <c r="C5" s="114">
        <v>23</v>
      </c>
      <c r="D5" s="114">
        <f>C5+1</f>
        <v>24</v>
      </c>
      <c r="E5" s="114">
        <f aca="true" t="shared" si="1" ref="E5:BA5">D5+1</f>
        <v>25</v>
      </c>
      <c r="F5" s="114">
        <f t="shared" si="1"/>
        <v>26</v>
      </c>
      <c r="G5" s="114">
        <f t="shared" si="1"/>
        <v>27</v>
      </c>
      <c r="H5" s="114">
        <f t="shared" si="1"/>
        <v>28</v>
      </c>
      <c r="I5" s="114">
        <f t="shared" si="1"/>
        <v>29</v>
      </c>
      <c r="J5" s="114">
        <f t="shared" si="1"/>
        <v>30</v>
      </c>
      <c r="K5" s="114">
        <f t="shared" si="1"/>
        <v>31</v>
      </c>
      <c r="L5" s="114">
        <f t="shared" si="1"/>
        <v>32</v>
      </c>
      <c r="M5" s="114">
        <f t="shared" si="1"/>
        <v>33</v>
      </c>
      <c r="N5" s="114">
        <f t="shared" si="1"/>
        <v>34</v>
      </c>
      <c r="O5" s="114">
        <f t="shared" si="1"/>
        <v>35</v>
      </c>
      <c r="P5" s="114">
        <f t="shared" si="1"/>
        <v>36</v>
      </c>
      <c r="Q5" s="114">
        <f t="shared" si="1"/>
        <v>37</v>
      </c>
      <c r="R5" s="114">
        <f t="shared" si="1"/>
        <v>38</v>
      </c>
      <c r="S5" s="114">
        <f t="shared" si="1"/>
        <v>39</v>
      </c>
      <c r="T5" s="114">
        <f t="shared" si="1"/>
        <v>40</v>
      </c>
      <c r="U5" s="114">
        <f t="shared" si="1"/>
        <v>41</v>
      </c>
      <c r="V5" s="114">
        <f t="shared" si="1"/>
        <v>42</v>
      </c>
      <c r="W5" s="114">
        <f t="shared" si="1"/>
        <v>43</v>
      </c>
      <c r="X5" s="114">
        <f t="shared" si="1"/>
        <v>44</v>
      </c>
      <c r="Y5" s="114">
        <f t="shared" si="1"/>
        <v>45</v>
      </c>
      <c r="Z5" s="114">
        <f t="shared" si="1"/>
        <v>46</v>
      </c>
      <c r="AA5" s="114">
        <f t="shared" si="1"/>
        <v>47</v>
      </c>
      <c r="AB5" s="114">
        <f t="shared" si="1"/>
        <v>48</v>
      </c>
      <c r="AC5" s="114">
        <f t="shared" si="1"/>
        <v>49</v>
      </c>
      <c r="AD5" s="114">
        <f t="shared" si="1"/>
        <v>50</v>
      </c>
      <c r="AE5" s="114">
        <f t="shared" si="1"/>
        <v>51</v>
      </c>
      <c r="AF5" s="114">
        <f t="shared" si="1"/>
        <v>52</v>
      </c>
      <c r="AG5" s="114">
        <f t="shared" si="1"/>
        <v>53</v>
      </c>
      <c r="AH5" s="114">
        <f t="shared" si="1"/>
        <v>54</v>
      </c>
      <c r="AI5" s="114">
        <f t="shared" si="1"/>
        <v>55</v>
      </c>
      <c r="AJ5" s="114">
        <f t="shared" si="1"/>
        <v>56</v>
      </c>
      <c r="AK5" s="114">
        <f t="shared" si="1"/>
        <v>57</v>
      </c>
      <c r="AL5" s="114">
        <f t="shared" si="1"/>
        <v>58</v>
      </c>
      <c r="AM5" s="114">
        <f t="shared" si="1"/>
        <v>59</v>
      </c>
      <c r="AN5" s="114">
        <f t="shared" si="1"/>
        <v>60</v>
      </c>
      <c r="AO5" s="114">
        <f t="shared" si="1"/>
        <v>61</v>
      </c>
      <c r="AP5" s="114">
        <f t="shared" si="1"/>
        <v>62</v>
      </c>
      <c r="AQ5" s="114">
        <f t="shared" si="1"/>
        <v>63</v>
      </c>
      <c r="AR5" s="114">
        <f t="shared" si="1"/>
        <v>64</v>
      </c>
      <c r="AS5" s="114">
        <f t="shared" si="1"/>
        <v>65</v>
      </c>
      <c r="AT5" s="114">
        <f t="shared" si="1"/>
        <v>66</v>
      </c>
      <c r="AU5" s="114">
        <f t="shared" si="1"/>
        <v>67</v>
      </c>
      <c r="AV5" s="114">
        <f t="shared" si="1"/>
        <v>68</v>
      </c>
      <c r="AW5" s="114">
        <f t="shared" si="1"/>
        <v>69</v>
      </c>
      <c r="AX5" s="114">
        <f t="shared" si="1"/>
        <v>70</v>
      </c>
      <c r="AY5" s="114">
        <f t="shared" si="1"/>
        <v>71</v>
      </c>
      <c r="AZ5" s="114">
        <f t="shared" si="1"/>
        <v>72</v>
      </c>
      <c r="BA5" s="114">
        <f t="shared" si="1"/>
        <v>73</v>
      </c>
    </row>
    <row r="6" spans="1:53" s="112" customFormat="1" ht="45">
      <c r="A6"/>
      <c r="B6" s="124" t="s">
        <v>0</v>
      </c>
      <c r="C6" s="123" t="s">
        <v>91</v>
      </c>
      <c r="D6" s="123"/>
      <c r="E6" s="123"/>
      <c r="F6" s="123"/>
      <c r="G6" s="123"/>
      <c r="H6" s="123"/>
      <c r="I6" s="123"/>
      <c r="J6" s="123"/>
      <c r="K6" s="123"/>
      <c r="L6" s="123"/>
      <c r="M6" s="123" t="s">
        <v>92</v>
      </c>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row>
    <row r="7" spans="2:53" ht="15">
      <c r="B7" s="114" t="s">
        <v>94</v>
      </c>
      <c r="C7" s="114">
        <v>0</v>
      </c>
      <c r="D7" s="114">
        <f>D5-$C$5</f>
        <v>1</v>
      </c>
      <c r="E7" s="114">
        <f aca="true" t="shared" si="2" ref="E7:AP7">E5-$C$5</f>
        <v>2</v>
      </c>
      <c r="F7" s="114">
        <f t="shared" si="2"/>
        <v>3</v>
      </c>
      <c r="G7" s="114">
        <f t="shared" si="2"/>
        <v>4</v>
      </c>
      <c r="H7" s="114">
        <f t="shared" si="2"/>
        <v>5</v>
      </c>
      <c r="I7" s="114">
        <f t="shared" si="2"/>
        <v>6</v>
      </c>
      <c r="J7" s="114">
        <f t="shared" si="2"/>
        <v>7</v>
      </c>
      <c r="K7" s="114">
        <f t="shared" si="2"/>
        <v>8</v>
      </c>
      <c r="L7" s="114">
        <f t="shared" si="2"/>
        <v>9</v>
      </c>
      <c r="M7" s="114">
        <f t="shared" si="2"/>
        <v>10</v>
      </c>
      <c r="N7" s="114">
        <f t="shared" si="2"/>
        <v>11</v>
      </c>
      <c r="O7" s="114">
        <f t="shared" si="2"/>
        <v>12</v>
      </c>
      <c r="P7" s="114">
        <f t="shared" si="2"/>
        <v>13</v>
      </c>
      <c r="Q7" s="114">
        <f t="shared" si="2"/>
        <v>14</v>
      </c>
      <c r="R7" s="114">
        <f t="shared" si="2"/>
        <v>15</v>
      </c>
      <c r="S7" s="114">
        <f t="shared" si="2"/>
        <v>16</v>
      </c>
      <c r="T7" s="114">
        <f t="shared" si="2"/>
        <v>17</v>
      </c>
      <c r="U7" s="114">
        <f t="shared" si="2"/>
        <v>18</v>
      </c>
      <c r="V7" s="114">
        <f t="shared" si="2"/>
        <v>19</v>
      </c>
      <c r="W7" s="114">
        <f t="shared" si="2"/>
        <v>20</v>
      </c>
      <c r="X7" s="114">
        <f t="shared" si="2"/>
        <v>21</v>
      </c>
      <c r="Y7" s="114">
        <f t="shared" si="2"/>
        <v>22</v>
      </c>
      <c r="Z7" s="114">
        <f t="shared" si="2"/>
        <v>23</v>
      </c>
      <c r="AA7" s="114">
        <f t="shared" si="2"/>
        <v>24</v>
      </c>
      <c r="AB7" s="114">
        <f t="shared" si="2"/>
        <v>25</v>
      </c>
      <c r="AC7" s="114">
        <f t="shared" si="2"/>
        <v>26</v>
      </c>
      <c r="AD7" s="114">
        <f t="shared" si="2"/>
        <v>27</v>
      </c>
      <c r="AE7" s="114">
        <f t="shared" si="2"/>
        <v>28</v>
      </c>
      <c r="AF7" s="114">
        <f t="shared" si="2"/>
        <v>29</v>
      </c>
      <c r="AG7" s="114">
        <f t="shared" si="2"/>
        <v>30</v>
      </c>
      <c r="AH7" s="114">
        <f t="shared" si="2"/>
        <v>31</v>
      </c>
      <c r="AI7" s="114">
        <f t="shared" si="2"/>
        <v>32</v>
      </c>
      <c r="AJ7" s="114">
        <f t="shared" si="2"/>
        <v>33</v>
      </c>
      <c r="AK7" s="114">
        <f t="shared" si="2"/>
        <v>34</v>
      </c>
      <c r="AL7" s="114">
        <f t="shared" si="2"/>
        <v>35</v>
      </c>
      <c r="AM7" s="114">
        <f t="shared" si="2"/>
        <v>36</v>
      </c>
      <c r="AN7" s="114">
        <f t="shared" si="2"/>
        <v>37</v>
      </c>
      <c r="AO7" s="114">
        <f t="shared" si="2"/>
        <v>38</v>
      </c>
      <c r="AP7" s="114">
        <f t="shared" si="2"/>
        <v>39</v>
      </c>
      <c r="AQ7" s="114">
        <f>AQ5-$C$5</f>
        <v>40</v>
      </c>
      <c r="AR7" s="114">
        <f>AR5-$C$5</f>
        <v>41</v>
      </c>
      <c r="AS7" s="114"/>
      <c r="AT7" s="114"/>
      <c r="AU7" s="114"/>
      <c r="AV7" s="114"/>
      <c r="AW7" s="114"/>
      <c r="AX7" s="114"/>
      <c r="AY7" s="114"/>
      <c r="AZ7" s="114"/>
      <c r="BA7" s="114"/>
    </row>
    <row r="10" ht="15">
      <c r="B10" s="113" t="s">
        <v>246</v>
      </c>
    </row>
    <row r="12" spans="2:53" ht="15">
      <c r="B12" s="114" t="s">
        <v>4</v>
      </c>
      <c r="C12" s="115">
        <f>C13*$C$91</f>
        <v>32256</v>
      </c>
      <c r="D12" s="115">
        <f>D13*$C$91</f>
        <v>32901.12</v>
      </c>
      <c r="E12" s="115">
        <f aca="true" t="shared" si="3" ref="E12:AR12">E13*$C$91</f>
        <v>33559.142400000004</v>
      </c>
      <c r="F12" s="115">
        <f t="shared" si="3"/>
        <v>34230.325248</v>
      </c>
      <c r="G12" s="115">
        <f t="shared" si="3"/>
        <v>34914.93175296001</v>
      </c>
      <c r="H12" s="115">
        <f t="shared" si="3"/>
        <v>35613.230388019205</v>
      </c>
      <c r="I12" s="115">
        <f t="shared" si="3"/>
        <v>36325.49499577959</v>
      </c>
      <c r="J12" s="115">
        <f t="shared" si="3"/>
        <v>37052.00489569519</v>
      </c>
      <c r="K12" s="115">
        <f t="shared" si="3"/>
        <v>37793.04499360909</v>
      </c>
      <c r="L12" s="115">
        <f t="shared" si="3"/>
        <v>38548.90589348127</v>
      </c>
      <c r="M12" s="115">
        <f t="shared" si="3"/>
        <v>43174.77460069902</v>
      </c>
      <c r="N12" s="115">
        <f t="shared" si="3"/>
        <v>44038.270092713006</v>
      </c>
      <c r="O12" s="115">
        <f t="shared" si="3"/>
        <v>44919.035494567266</v>
      </c>
      <c r="P12" s="115">
        <f t="shared" si="3"/>
        <v>45817.41620445861</v>
      </c>
      <c r="Q12" s="115">
        <f t="shared" si="3"/>
        <v>46733.764528547785</v>
      </c>
      <c r="R12" s="115">
        <f t="shared" si="3"/>
        <v>47668.439819118736</v>
      </c>
      <c r="S12" s="115">
        <f t="shared" si="3"/>
        <v>48621.80861550111</v>
      </c>
      <c r="T12" s="115">
        <f t="shared" si="3"/>
        <v>49594.244787811134</v>
      </c>
      <c r="U12" s="115">
        <f t="shared" si="3"/>
        <v>50586.12968356736</v>
      </c>
      <c r="V12" s="115">
        <f t="shared" si="3"/>
        <v>51597.85227723871</v>
      </c>
      <c r="W12" s="115">
        <f t="shared" si="3"/>
        <v>52629.80932278348</v>
      </c>
      <c r="X12" s="115">
        <f t="shared" si="3"/>
        <v>53682.40550923915</v>
      </c>
      <c r="Y12" s="115">
        <f t="shared" si="3"/>
        <v>54756.05361942393</v>
      </c>
      <c r="Z12" s="115">
        <f t="shared" si="3"/>
        <v>55851.174691812404</v>
      </c>
      <c r="AA12" s="115">
        <f t="shared" si="3"/>
        <v>56968.19818564865</v>
      </c>
      <c r="AB12" s="115">
        <f t="shared" si="3"/>
        <v>58107.56214936163</v>
      </c>
      <c r="AC12" s="115">
        <f t="shared" si="3"/>
        <v>59269.71339234886</v>
      </c>
      <c r="AD12" s="115">
        <f t="shared" si="3"/>
        <v>60455.10766019584</v>
      </c>
      <c r="AE12" s="115">
        <f t="shared" si="3"/>
        <v>61664.20981339976</v>
      </c>
      <c r="AF12" s="115">
        <f t="shared" si="3"/>
        <v>62897.49400966775</v>
      </c>
      <c r="AG12" s="115">
        <f t="shared" si="3"/>
        <v>70445.1932908279</v>
      </c>
      <c r="AH12" s="115">
        <f t="shared" si="3"/>
        <v>71854.09715664445</v>
      </c>
      <c r="AI12" s="115">
        <f t="shared" si="3"/>
        <v>73291.17909977735</v>
      </c>
      <c r="AJ12" s="115">
        <f t="shared" si="3"/>
        <v>74757.0026817729</v>
      </c>
      <c r="AK12" s="115">
        <f t="shared" si="3"/>
        <v>76252.14273540836</v>
      </c>
      <c r="AL12" s="115">
        <f t="shared" si="3"/>
        <v>77777.18559011653</v>
      </c>
      <c r="AM12" s="115">
        <f t="shared" si="3"/>
        <v>79332.72930191885</v>
      </c>
      <c r="AN12" s="115">
        <f t="shared" si="3"/>
        <v>80919.38388795723</v>
      </c>
      <c r="AO12" s="115">
        <f t="shared" si="3"/>
        <v>82537.77156571636</v>
      </c>
      <c r="AP12" s="115">
        <f t="shared" si="3"/>
        <v>84188.5269970307</v>
      </c>
      <c r="AQ12" s="115">
        <f t="shared" si="3"/>
        <v>85872.29753697131</v>
      </c>
      <c r="AR12" s="115">
        <f t="shared" si="3"/>
        <v>87589.74348771073</v>
      </c>
      <c r="AS12" s="114"/>
      <c r="AT12" s="114"/>
      <c r="AU12" s="114"/>
      <c r="AV12" s="114"/>
      <c r="AW12" s="114"/>
      <c r="AX12" s="114"/>
      <c r="AY12" s="114"/>
      <c r="AZ12" s="114"/>
      <c r="BA12" s="114"/>
    </row>
    <row r="13" spans="2:53" ht="15">
      <c r="B13" s="114" t="s">
        <v>6</v>
      </c>
      <c r="C13" s="115">
        <f>'Salaire moyen Homme INSEE'!B31</f>
        <v>20160</v>
      </c>
      <c r="D13" s="115">
        <f aca="true" t="shared" si="4" ref="D13:AR13">C13*(1+SUM(D84:D85))</f>
        <v>20563.2</v>
      </c>
      <c r="E13" s="115">
        <f t="shared" si="4"/>
        <v>20974.464</v>
      </c>
      <c r="F13" s="115">
        <f t="shared" si="4"/>
        <v>21393.95328</v>
      </c>
      <c r="G13" s="115">
        <f t="shared" si="4"/>
        <v>21821.832345600003</v>
      </c>
      <c r="H13" s="115">
        <f t="shared" si="4"/>
        <v>22258.268992512003</v>
      </c>
      <c r="I13" s="115">
        <f t="shared" si="4"/>
        <v>22703.434372362244</v>
      </c>
      <c r="J13" s="115">
        <f t="shared" si="4"/>
        <v>23157.50305980949</v>
      </c>
      <c r="K13" s="115">
        <f t="shared" si="4"/>
        <v>23620.65312100568</v>
      </c>
      <c r="L13" s="115">
        <f t="shared" si="4"/>
        <v>24093.06618342579</v>
      </c>
      <c r="M13" s="115">
        <f t="shared" si="4"/>
        <v>26984.234125436888</v>
      </c>
      <c r="N13" s="115">
        <f t="shared" si="4"/>
        <v>27523.918807945625</v>
      </c>
      <c r="O13" s="115">
        <f t="shared" si="4"/>
        <v>28074.39718410454</v>
      </c>
      <c r="P13" s="115">
        <f t="shared" si="4"/>
        <v>28635.88512778663</v>
      </c>
      <c r="Q13" s="115">
        <f t="shared" si="4"/>
        <v>29208.602830342363</v>
      </c>
      <c r="R13" s="115">
        <f t="shared" si="4"/>
        <v>29792.77488694921</v>
      </c>
      <c r="S13" s="115">
        <f t="shared" si="4"/>
        <v>30388.630384688193</v>
      </c>
      <c r="T13" s="115">
        <f t="shared" si="4"/>
        <v>30996.402992381958</v>
      </c>
      <c r="U13" s="115">
        <f t="shared" si="4"/>
        <v>31616.331052229598</v>
      </c>
      <c r="V13" s="115">
        <f t="shared" si="4"/>
        <v>32248.65767327419</v>
      </c>
      <c r="W13" s="115">
        <f t="shared" si="4"/>
        <v>32893.630826739674</v>
      </c>
      <c r="X13" s="115">
        <f t="shared" si="4"/>
        <v>33551.503443274465</v>
      </c>
      <c r="Y13" s="115">
        <f t="shared" si="4"/>
        <v>34222.533512139955</v>
      </c>
      <c r="Z13" s="115">
        <f t="shared" si="4"/>
        <v>34906.98418238275</v>
      </c>
      <c r="AA13" s="115">
        <f t="shared" si="4"/>
        <v>35605.12386603041</v>
      </c>
      <c r="AB13" s="115">
        <f t="shared" si="4"/>
        <v>36317.226343351016</v>
      </c>
      <c r="AC13" s="115">
        <f t="shared" si="4"/>
        <v>37043.570870218035</v>
      </c>
      <c r="AD13" s="115">
        <f t="shared" si="4"/>
        <v>37784.4422876224</v>
      </c>
      <c r="AE13" s="115">
        <f t="shared" si="4"/>
        <v>38540.131133374845</v>
      </c>
      <c r="AF13" s="115">
        <f t="shared" si="4"/>
        <v>39310.933756042345</v>
      </c>
      <c r="AG13" s="115">
        <f t="shared" si="4"/>
        <v>44028.24580676743</v>
      </c>
      <c r="AH13" s="115">
        <f t="shared" si="4"/>
        <v>44908.81072290278</v>
      </c>
      <c r="AI13" s="115">
        <f t="shared" si="4"/>
        <v>45806.98693736084</v>
      </c>
      <c r="AJ13" s="115">
        <f t="shared" si="4"/>
        <v>46723.126676108055</v>
      </c>
      <c r="AK13" s="115">
        <f t="shared" si="4"/>
        <v>47657.58920963022</v>
      </c>
      <c r="AL13" s="115">
        <f t="shared" si="4"/>
        <v>48610.74099382282</v>
      </c>
      <c r="AM13" s="115">
        <f t="shared" si="4"/>
        <v>49582.95581369928</v>
      </c>
      <c r="AN13" s="115">
        <f t="shared" si="4"/>
        <v>50574.614929973264</v>
      </c>
      <c r="AO13" s="115">
        <f t="shared" si="4"/>
        <v>51586.10722857273</v>
      </c>
      <c r="AP13" s="115">
        <f t="shared" si="4"/>
        <v>52617.82937314418</v>
      </c>
      <c r="AQ13" s="115">
        <f t="shared" si="4"/>
        <v>53670.185960607065</v>
      </c>
      <c r="AR13" s="115">
        <f t="shared" si="4"/>
        <v>54743.589679819204</v>
      </c>
      <c r="AS13" s="116"/>
      <c r="AT13" s="116"/>
      <c r="AU13" s="116"/>
      <c r="AV13" s="116"/>
      <c r="AW13" s="116"/>
      <c r="AX13" s="116"/>
      <c r="AY13" s="116"/>
      <c r="AZ13" s="116"/>
      <c r="BA13" s="116"/>
    </row>
    <row r="14" spans="2:53" ht="15">
      <c r="B14" s="114" t="s">
        <v>5</v>
      </c>
      <c r="C14" s="115">
        <f>C13*$C$90</f>
        <v>16128</v>
      </c>
      <c r="D14" s="115">
        <f>D13*$C$90</f>
        <v>16450.56</v>
      </c>
      <c r="E14" s="115">
        <f aca="true" t="shared" si="5" ref="E14:AR14">E13*$C$90</f>
        <v>16779.571200000002</v>
      </c>
      <c r="F14" s="115">
        <f t="shared" si="5"/>
        <v>17115.162624</v>
      </c>
      <c r="G14" s="115">
        <f t="shared" si="5"/>
        <v>17457.465876480004</v>
      </c>
      <c r="H14" s="115">
        <f t="shared" si="5"/>
        <v>17806.615194009602</v>
      </c>
      <c r="I14" s="115">
        <f t="shared" si="5"/>
        <v>18162.747497889795</v>
      </c>
      <c r="J14" s="115">
        <f t="shared" si="5"/>
        <v>18526.002447847593</v>
      </c>
      <c r="K14" s="115">
        <f t="shared" si="5"/>
        <v>18896.522496804544</v>
      </c>
      <c r="L14" s="115">
        <f t="shared" si="5"/>
        <v>19274.452946740636</v>
      </c>
      <c r="M14" s="115">
        <f t="shared" si="5"/>
        <v>21587.38730034951</v>
      </c>
      <c r="N14" s="115">
        <f t="shared" si="5"/>
        <v>22019.135046356503</v>
      </c>
      <c r="O14" s="115">
        <f t="shared" si="5"/>
        <v>22459.517747283633</v>
      </c>
      <c r="P14" s="115">
        <f t="shared" si="5"/>
        <v>22908.708102229306</v>
      </c>
      <c r="Q14" s="115">
        <f t="shared" si="5"/>
        <v>23366.882264273892</v>
      </c>
      <c r="R14" s="115">
        <f t="shared" si="5"/>
        <v>23834.219909559368</v>
      </c>
      <c r="S14" s="115">
        <f t="shared" si="5"/>
        <v>24310.904307750556</v>
      </c>
      <c r="T14" s="115">
        <f t="shared" si="5"/>
        <v>24797.122393905567</v>
      </c>
      <c r="U14" s="115">
        <f t="shared" si="5"/>
        <v>25293.06484178368</v>
      </c>
      <c r="V14" s="115">
        <f t="shared" si="5"/>
        <v>25798.926138619354</v>
      </c>
      <c r="W14" s="115">
        <f t="shared" si="5"/>
        <v>26314.90466139174</v>
      </c>
      <c r="X14" s="115">
        <f t="shared" si="5"/>
        <v>26841.202754619575</v>
      </c>
      <c r="Y14" s="115">
        <f t="shared" si="5"/>
        <v>27378.026809711966</v>
      </c>
      <c r="Z14" s="115">
        <f t="shared" si="5"/>
        <v>27925.587345906202</v>
      </c>
      <c r="AA14" s="115">
        <f t="shared" si="5"/>
        <v>28484.099092824326</v>
      </c>
      <c r="AB14" s="115">
        <f t="shared" si="5"/>
        <v>29053.781074680814</v>
      </c>
      <c r="AC14" s="115">
        <f t="shared" si="5"/>
        <v>29634.85669617443</v>
      </c>
      <c r="AD14" s="115">
        <f t="shared" si="5"/>
        <v>30227.55383009792</v>
      </c>
      <c r="AE14" s="115">
        <f t="shared" si="5"/>
        <v>30832.10490669988</v>
      </c>
      <c r="AF14" s="115">
        <f t="shared" si="5"/>
        <v>31448.747004833876</v>
      </c>
      <c r="AG14" s="115">
        <f t="shared" si="5"/>
        <v>35222.59664541395</v>
      </c>
      <c r="AH14" s="115">
        <f t="shared" si="5"/>
        <v>35927.048578322225</v>
      </c>
      <c r="AI14" s="115">
        <f t="shared" si="5"/>
        <v>36645.589549888675</v>
      </c>
      <c r="AJ14" s="115">
        <f t="shared" si="5"/>
        <v>37378.50134088645</v>
      </c>
      <c r="AK14" s="115">
        <f t="shared" si="5"/>
        <v>38126.07136770418</v>
      </c>
      <c r="AL14" s="115">
        <f t="shared" si="5"/>
        <v>38888.59279505826</v>
      </c>
      <c r="AM14" s="115">
        <f t="shared" si="5"/>
        <v>39666.364650959425</v>
      </c>
      <c r="AN14" s="115">
        <f t="shared" si="5"/>
        <v>40459.691943978614</v>
      </c>
      <c r="AO14" s="115">
        <f t="shared" si="5"/>
        <v>41268.88578285818</v>
      </c>
      <c r="AP14" s="115">
        <f t="shared" si="5"/>
        <v>42094.26349851535</v>
      </c>
      <c r="AQ14" s="115">
        <f t="shared" si="5"/>
        <v>42936.148768485655</v>
      </c>
      <c r="AR14" s="115">
        <f t="shared" si="5"/>
        <v>43794.871743855365</v>
      </c>
      <c r="AS14" s="114"/>
      <c r="AT14" s="114"/>
      <c r="AU14" s="114"/>
      <c r="AV14" s="114"/>
      <c r="AW14" s="114"/>
      <c r="AX14" s="114"/>
      <c r="AY14" s="114"/>
      <c r="AZ14" s="114"/>
      <c r="BA14" s="114"/>
    </row>
    <row r="16" spans="2:53" ht="15">
      <c r="B16" s="114" t="s">
        <v>313</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5">
        <f>'1.1. Calcul de la retraite'!C29</f>
        <v>19816.093311833007</v>
      </c>
      <c r="AT16" s="115">
        <f aca="true" t="shared" si="6" ref="AT16:BA16">AS16*(1+AS84)</f>
        <v>20212.415178069667</v>
      </c>
      <c r="AU16" s="115">
        <f t="shared" si="6"/>
        <v>20616.66348163106</v>
      </c>
      <c r="AV16" s="115">
        <f t="shared" si="6"/>
        <v>21028.996751263683</v>
      </c>
      <c r="AW16" s="115">
        <f t="shared" si="6"/>
        <v>21449.576686288958</v>
      </c>
      <c r="AX16" s="115">
        <f t="shared" si="6"/>
        <v>21878.56822001474</v>
      </c>
      <c r="AY16" s="115">
        <f t="shared" si="6"/>
        <v>22316.139584415032</v>
      </c>
      <c r="AZ16" s="115">
        <f t="shared" si="6"/>
        <v>22762.462376103333</v>
      </c>
      <c r="BA16" s="115">
        <f t="shared" si="6"/>
        <v>23217.7116236254</v>
      </c>
    </row>
    <row r="17" spans="2:53" ht="15">
      <c r="B17" s="114" t="s">
        <v>102</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5">
        <f>AS16-SUM('1.2. Impôts'!AS29:AS30)</f>
        <v>18230.805846886367</v>
      </c>
      <c r="AT17" s="115">
        <f>AT16-SUM('1.2. Impôts'!AT29:AT30)</f>
        <v>18595.421963824094</v>
      </c>
      <c r="AU17" s="115">
        <f>AU16-SUM('1.2. Impôts'!AU29:AU30)</f>
        <v>18967.330403100575</v>
      </c>
      <c r="AV17" s="115">
        <f>AV16-SUM('1.2. Impôts'!AV29:AV30)</f>
        <v>19346.67701116259</v>
      </c>
      <c r="AW17" s="115">
        <f>AW16-SUM('1.2. Impôts'!AW29:AW30)</f>
        <v>19733.610551385842</v>
      </c>
      <c r="AX17" s="115">
        <f>AX16-SUM('1.2. Impôts'!AX29:AX30)</f>
        <v>20128.28276241356</v>
      </c>
      <c r="AY17" s="115">
        <f>AY16-SUM('1.2. Impôts'!AY29:AY30)</f>
        <v>20530.84841766183</v>
      </c>
      <c r="AZ17" s="115">
        <f>AZ16-SUM('1.2. Impôts'!AZ29:AZ30)</f>
        <v>20941.465386015065</v>
      </c>
      <c r="BA17" s="115">
        <f>BA16-SUM('1.2. Impôts'!BA29:BA30)</f>
        <v>21360.29469373537</v>
      </c>
    </row>
    <row r="19" spans="2:53" ht="15">
      <c r="B19" s="114" t="s">
        <v>7</v>
      </c>
      <c r="C19" s="115">
        <f aca="true" t="shared" si="7" ref="C19:AH19">C14+C17</f>
        <v>16128</v>
      </c>
      <c r="D19" s="115">
        <f t="shared" si="7"/>
        <v>16450.56</v>
      </c>
      <c r="E19" s="115">
        <f t="shared" si="7"/>
        <v>16779.571200000002</v>
      </c>
      <c r="F19" s="115">
        <f t="shared" si="7"/>
        <v>17115.162624</v>
      </c>
      <c r="G19" s="115">
        <f t="shared" si="7"/>
        <v>17457.465876480004</v>
      </c>
      <c r="H19" s="115">
        <f t="shared" si="7"/>
        <v>17806.615194009602</v>
      </c>
      <c r="I19" s="115">
        <f t="shared" si="7"/>
        <v>18162.747497889795</v>
      </c>
      <c r="J19" s="115">
        <f t="shared" si="7"/>
        <v>18526.002447847593</v>
      </c>
      <c r="K19" s="115">
        <f t="shared" si="7"/>
        <v>18896.522496804544</v>
      </c>
      <c r="L19" s="115">
        <f t="shared" si="7"/>
        <v>19274.452946740636</v>
      </c>
      <c r="M19" s="115">
        <f t="shared" si="7"/>
        <v>21587.38730034951</v>
      </c>
      <c r="N19" s="115">
        <f t="shared" si="7"/>
        <v>22019.135046356503</v>
      </c>
      <c r="O19" s="115">
        <f t="shared" si="7"/>
        <v>22459.517747283633</v>
      </c>
      <c r="P19" s="115">
        <f t="shared" si="7"/>
        <v>22908.708102229306</v>
      </c>
      <c r="Q19" s="115">
        <f t="shared" si="7"/>
        <v>23366.882264273892</v>
      </c>
      <c r="R19" s="115">
        <f t="shared" si="7"/>
        <v>23834.219909559368</v>
      </c>
      <c r="S19" s="115">
        <f t="shared" si="7"/>
        <v>24310.904307750556</v>
      </c>
      <c r="T19" s="115">
        <f t="shared" si="7"/>
        <v>24797.122393905567</v>
      </c>
      <c r="U19" s="115">
        <f t="shared" si="7"/>
        <v>25293.06484178368</v>
      </c>
      <c r="V19" s="115">
        <f t="shared" si="7"/>
        <v>25798.926138619354</v>
      </c>
      <c r="W19" s="115">
        <f t="shared" si="7"/>
        <v>26314.90466139174</v>
      </c>
      <c r="X19" s="115">
        <f t="shared" si="7"/>
        <v>26841.202754619575</v>
      </c>
      <c r="Y19" s="115">
        <f t="shared" si="7"/>
        <v>27378.026809711966</v>
      </c>
      <c r="Z19" s="115">
        <f t="shared" si="7"/>
        <v>27925.587345906202</v>
      </c>
      <c r="AA19" s="115">
        <f t="shared" si="7"/>
        <v>28484.099092824326</v>
      </c>
      <c r="AB19" s="115">
        <f t="shared" si="7"/>
        <v>29053.781074680814</v>
      </c>
      <c r="AC19" s="115">
        <f t="shared" si="7"/>
        <v>29634.85669617443</v>
      </c>
      <c r="AD19" s="115">
        <f t="shared" si="7"/>
        <v>30227.55383009792</v>
      </c>
      <c r="AE19" s="115">
        <f t="shared" si="7"/>
        <v>30832.10490669988</v>
      </c>
      <c r="AF19" s="115">
        <f t="shared" si="7"/>
        <v>31448.747004833876</v>
      </c>
      <c r="AG19" s="115">
        <f t="shared" si="7"/>
        <v>35222.59664541395</v>
      </c>
      <c r="AH19" s="115">
        <f t="shared" si="7"/>
        <v>35927.048578322225</v>
      </c>
      <c r="AI19" s="115">
        <f aca="true" t="shared" si="8" ref="AI19:BA19">AI14+AI17</f>
        <v>36645.589549888675</v>
      </c>
      <c r="AJ19" s="115">
        <f t="shared" si="8"/>
        <v>37378.50134088645</v>
      </c>
      <c r="AK19" s="115">
        <f t="shared" si="8"/>
        <v>38126.07136770418</v>
      </c>
      <c r="AL19" s="115">
        <f t="shared" si="8"/>
        <v>38888.59279505826</v>
      </c>
      <c r="AM19" s="115">
        <f t="shared" si="8"/>
        <v>39666.364650959425</v>
      </c>
      <c r="AN19" s="115">
        <f t="shared" si="8"/>
        <v>40459.691943978614</v>
      </c>
      <c r="AO19" s="115">
        <f t="shared" si="8"/>
        <v>41268.88578285818</v>
      </c>
      <c r="AP19" s="115">
        <f t="shared" si="8"/>
        <v>42094.26349851535</v>
      </c>
      <c r="AQ19" s="115">
        <f t="shared" si="8"/>
        <v>42936.148768485655</v>
      </c>
      <c r="AR19" s="115">
        <f t="shared" si="8"/>
        <v>43794.871743855365</v>
      </c>
      <c r="AS19" s="115">
        <f t="shared" si="8"/>
        <v>18230.805846886367</v>
      </c>
      <c r="AT19" s="115">
        <f t="shared" si="8"/>
        <v>18595.421963824094</v>
      </c>
      <c r="AU19" s="115">
        <f t="shared" si="8"/>
        <v>18967.330403100575</v>
      </c>
      <c r="AV19" s="115">
        <f t="shared" si="8"/>
        <v>19346.67701116259</v>
      </c>
      <c r="AW19" s="115">
        <f t="shared" si="8"/>
        <v>19733.610551385842</v>
      </c>
      <c r="AX19" s="115">
        <f t="shared" si="8"/>
        <v>20128.28276241356</v>
      </c>
      <c r="AY19" s="115">
        <f t="shared" si="8"/>
        <v>20530.84841766183</v>
      </c>
      <c r="AZ19" s="115">
        <f t="shared" si="8"/>
        <v>20941.465386015065</v>
      </c>
      <c r="BA19" s="115">
        <f t="shared" si="8"/>
        <v>21360.29469373537</v>
      </c>
    </row>
    <row r="20" spans="2:53" ht="15">
      <c r="B20" s="114" t="s">
        <v>8</v>
      </c>
      <c r="C20" s="115">
        <f>(C12-C14)+(C16-C17)</f>
        <v>16128</v>
      </c>
      <c r="D20" s="115">
        <f aca="true" t="shared" si="9" ref="D20:BA20">(D12-D14)+(D16-D17)</f>
        <v>16450.56</v>
      </c>
      <c r="E20" s="115">
        <f t="shared" si="9"/>
        <v>16779.571200000002</v>
      </c>
      <c r="F20" s="115">
        <f t="shared" si="9"/>
        <v>17115.162624</v>
      </c>
      <c r="G20" s="115">
        <f t="shared" si="9"/>
        <v>17457.465876480004</v>
      </c>
      <c r="H20" s="115">
        <f t="shared" si="9"/>
        <v>17806.615194009602</v>
      </c>
      <c r="I20" s="115">
        <f t="shared" si="9"/>
        <v>18162.747497889795</v>
      </c>
      <c r="J20" s="115">
        <f t="shared" si="9"/>
        <v>18526.002447847593</v>
      </c>
      <c r="K20" s="115">
        <f t="shared" si="9"/>
        <v>18896.522496804544</v>
      </c>
      <c r="L20" s="115">
        <f t="shared" si="9"/>
        <v>19274.452946740636</v>
      </c>
      <c r="M20" s="115">
        <f t="shared" si="9"/>
        <v>21587.38730034951</v>
      </c>
      <c r="N20" s="115">
        <f t="shared" si="9"/>
        <v>22019.135046356503</v>
      </c>
      <c r="O20" s="115">
        <f t="shared" si="9"/>
        <v>22459.517747283633</v>
      </c>
      <c r="P20" s="115">
        <f t="shared" si="9"/>
        <v>22908.708102229306</v>
      </c>
      <c r="Q20" s="115">
        <f t="shared" si="9"/>
        <v>23366.882264273892</v>
      </c>
      <c r="R20" s="115">
        <f t="shared" si="9"/>
        <v>23834.219909559368</v>
      </c>
      <c r="S20" s="115">
        <f t="shared" si="9"/>
        <v>24310.904307750556</v>
      </c>
      <c r="T20" s="115">
        <f t="shared" si="9"/>
        <v>24797.122393905567</v>
      </c>
      <c r="U20" s="115">
        <f t="shared" si="9"/>
        <v>25293.06484178368</v>
      </c>
      <c r="V20" s="115">
        <f t="shared" si="9"/>
        <v>25798.926138619354</v>
      </c>
      <c r="W20" s="115">
        <f t="shared" si="9"/>
        <v>26314.90466139174</v>
      </c>
      <c r="X20" s="115">
        <f t="shared" si="9"/>
        <v>26841.202754619575</v>
      </c>
      <c r="Y20" s="115">
        <f t="shared" si="9"/>
        <v>27378.026809711966</v>
      </c>
      <c r="Z20" s="115">
        <f t="shared" si="9"/>
        <v>27925.587345906202</v>
      </c>
      <c r="AA20" s="115">
        <f t="shared" si="9"/>
        <v>28484.099092824326</v>
      </c>
      <c r="AB20" s="115">
        <f t="shared" si="9"/>
        <v>29053.781074680814</v>
      </c>
      <c r="AC20" s="115">
        <f t="shared" si="9"/>
        <v>29634.85669617443</v>
      </c>
      <c r="AD20" s="115">
        <f t="shared" si="9"/>
        <v>30227.55383009792</v>
      </c>
      <c r="AE20" s="115">
        <f t="shared" si="9"/>
        <v>30832.10490669988</v>
      </c>
      <c r="AF20" s="115">
        <f t="shared" si="9"/>
        <v>31448.747004833876</v>
      </c>
      <c r="AG20" s="115">
        <f t="shared" si="9"/>
        <v>35222.59664541395</v>
      </c>
      <c r="AH20" s="115">
        <f t="shared" si="9"/>
        <v>35927.048578322225</v>
      </c>
      <c r="AI20" s="115">
        <f t="shared" si="9"/>
        <v>36645.589549888675</v>
      </c>
      <c r="AJ20" s="115">
        <f t="shared" si="9"/>
        <v>37378.50134088645</v>
      </c>
      <c r="AK20" s="115">
        <f t="shared" si="9"/>
        <v>38126.07136770418</v>
      </c>
      <c r="AL20" s="115">
        <f t="shared" si="9"/>
        <v>38888.59279505826</v>
      </c>
      <c r="AM20" s="115">
        <f t="shared" si="9"/>
        <v>39666.364650959425</v>
      </c>
      <c r="AN20" s="115">
        <f t="shared" si="9"/>
        <v>40459.691943978614</v>
      </c>
      <c r="AO20" s="115">
        <f t="shared" si="9"/>
        <v>41268.88578285818</v>
      </c>
      <c r="AP20" s="115">
        <f t="shared" si="9"/>
        <v>42094.26349851535</v>
      </c>
      <c r="AQ20" s="115">
        <f t="shared" si="9"/>
        <v>42936.148768485655</v>
      </c>
      <c r="AR20" s="115">
        <f t="shared" si="9"/>
        <v>43794.871743855365</v>
      </c>
      <c r="AS20" s="115">
        <f t="shared" si="9"/>
        <v>1585.2874649466394</v>
      </c>
      <c r="AT20" s="115">
        <f t="shared" si="9"/>
        <v>1616.9932142455727</v>
      </c>
      <c r="AU20" s="115">
        <f t="shared" si="9"/>
        <v>1649.333078530486</v>
      </c>
      <c r="AV20" s="115">
        <f t="shared" si="9"/>
        <v>1682.3197401010948</v>
      </c>
      <c r="AW20" s="115">
        <f t="shared" si="9"/>
        <v>1715.9661349031157</v>
      </c>
      <c r="AX20" s="115">
        <f t="shared" si="9"/>
        <v>1750.2854576011778</v>
      </c>
      <c r="AY20" s="115">
        <f t="shared" si="9"/>
        <v>1785.2911667532026</v>
      </c>
      <c r="AZ20" s="115">
        <f t="shared" si="9"/>
        <v>1820.996990088268</v>
      </c>
      <c r="BA20" s="115">
        <f t="shared" si="9"/>
        <v>1857.4169298900306</v>
      </c>
    </row>
    <row r="23" ht="15">
      <c r="B23" s="113" t="s">
        <v>248</v>
      </c>
    </row>
    <row r="25" spans="2:53" ht="15">
      <c r="B25" s="114" t="s">
        <v>121</v>
      </c>
      <c r="C25" s="115">
        <f aca="true" t="shared" si="10" ref="C25:AH25">C14+C17+C47+C48+C49-C62-C79-C66-C67-C68</f>
        <v>16128</v>
      </c>
      <c r="D25" s="115">
        <f t="shared" si="10"/>
        <v>16484.301363481514</v>
      </c>
      <c r="E25" s="115">
        <f t="shared" si="10"/>
        <v>16847.799344486233</v>
      </c>
      <c r="F25" s="115">
        <f t="shared" si="10"/>
        <v>17218.63802304637</v>
      </c>
      <c r="G25" s="115">
        <f t="shared" si="10"/>
        <v>17596.964361103768</v>
      </c>
      <c r="H25" s="115">
        <f t="shared" si="10"/>
        <v>17982.9282601487</v>
      </c>
      <c r="I25" s="115">
        <f t="shared" si="10"/>
        <v>18376.68262001151</v>
      </c>
      <c r="J25" s="115">
        <f t="shared" si="10"/>
        <v>18778.38339883006</v>
      </c>
      <c r="K25" s="115">
        <f t="shared" si="10"/>
        <v>19188.189674216526</v>
      </c>
      <c r="L25" s="115">
        <f t="shared" si="10"/>
        <v>19606.263705647532</v>
      </c>
      <c r="M25" s="115">
        <f t="shared" si="10"/>
        <v>21907.818907557114</v>
      </c>
      <c r="N25" s="115">
        <f t="shared" si="10"/>
        <v>22384.35201940431</v>
      </c>
      <c r="O25" s="115">
        <f t="shared" si="10"/>
        <v>22870.49608139277</v>
      </c>
      <c r="P25" s="115">
        <f t="shared" si="10"/>
        <v>23366.443480495516</v>
      </c>
      <c r="Q25" s="115">
        <f t="shared" si="10"/>
        <v>23872.390451776446</v>
      </c>
      <c r="R25" s="115">
        <f t="shared" si="10"/>
        <v>24388.53715535287</v>
      </c>
      <c r="S25" s="115">
        <f t="shared" si="10"/>
        <v>24915.087754897348</v>
      </c>
      <c r="T25" s="115">
        <f t="shared" si="10"/>
        <v>25452.250497709487</v>
      </c>
      <c r="U25" s="115">
        <f t="shared" si="10"/>
        <v>26000.23779638926</v>
      </c>
      <c r="V25" s="115">
        <f t="shared" si="10"/>
        <v>26559.26631214374</v>
      </c>
      <c r="W25" s="115">
        <f t="shared" si="10"/>
        <v>27137.155573946828</v>
      </c>
      <c r="X25" s="115">
        <f t="shared" si="10"/>
        <v>27729.331467540676</v>
      </c>
      <c r="Y25" s="115">
        <f t="shared" si="10"/>
        <v>28333.48128324055</v>
      </c>
      <c r="Z25" s="115">
        <f t="shared" si="10"/>
        <v>28949.8448434964</v>
      </c>
      <c r="AA25" s="115">
        <f t="shared" si="10"/>
        <v>29578.666768114676</v>
      </c>
      <c r="AB25" s="115">
        <f t="shared" si="10"/>
        <v>30220.196570207845</v>
      </c>
      <c r="AC25" s="115">
        <f t="shared" si="10"/>
        <v>30874.688754062918</v>
      </c>
      <c r="AD25" s="115">
        <f t="shared" si="10"/>
        <v>31542.402914967337</v>
      </c>
      <c r="AE25" s="115">
        <f t="shared" si="10"/>
        <v>32223.603841031418</v>
      </c>
      <c r="AF25" s="115">
        <f t="shared" si="10"/>
        <v>32918.56161704719</v>
      </c>
      <c r="AG25" s="115">
        <f t="shared" si="10"/>
        <v>36529.62244856371</v>
      </c>
      <c r="AH25" s="115">
        <f t="shared" si="10"/>
        <v>37318.623006880436</v>
      </c>
      <c r="AI25" s="115">
        <f aca="true" t="shared" si="11" ref="AI25:BA25">AI14+AI17+AI47+AI48+AI49-AI62-AI79-AI66-AI67-AI68</f>
        <v>38123.55765761164</v>
      </c>
      <c r="AJ25" s="115">
        <f t="shared" si="11"/>
        <v>38944.745489073655</v>
      </c>
      <c r="AK25" s="115">
        <f t="shared" si="11"/>
        <v>39782.51197242144</v>
      </c>
      <c r="AL25" s="115">
        <f t="shared" si="11"/>
        <v>40637.189089308136</v>
      </c>
      <c r="AM25" s="115">
        <f t="shared" si="11"/>
        <v>41509.11546209787</v>
      </c>
      <c r="AN25" s="115">
        <f t="shared" si="11"/>
        <v>42398.63648668284</v>
      </c>
      <c r="AO25" s="115">
        <f t="shared" si="11"/>
        <v>43306.10446795671</v>
      </c>
      <c r="AP25" s="115">
        <f t="shared" si="11"/>
        <v>44231.878757997525</v>
      </c>
      <c r="AQ25" s="115">
        <f t="shared" si="11"/>
        <v>45176.32589701417</v>
      </c>
      <c r="AR25" s="115">
        <f t="shared" si="11"/>
        <v>46139.81975711203</v>
      </c>
      <c r="AS25" s="115">
        <f t="shared" si="11"/>
        <v>21089.45751474794</v>
      </c>
      <c r="AT25" s="115">
        <f t="shared" si="11"/>
        <v>21502.85471766567</v>
      </c>
      <c r="AU25" s="115">
        <f t="shared" si="11"/>
        <v>21924.497726590373</v>
      </c>
      <c r="AV25" s="115">
        <f t="shared" si="11"/>
        <v>22354.551399241755</v>
      </c>
      <c r="AW25" s="115">
        <f t="shared" si="11"/>
        <v>22793.183890339853</v>
      </c>
      <c r="AX25" s="115">
        <f t="shared" si="11"/>
        <v>23240.566717544658</v>
      </c>
      <c r="AY25" s="115">
        <f t="shared" si="11"/>
        <v>23696.87482871446</v>
      </c>
      <c r="AZ25" s="115">
        <f t="shared" si="11"/>
        <v>24162.286670509453</v>
      </c>
      <c r="BA25" s="115">
        <f t="shared" si="11"/>
        <v>24636.984258367334</v>
      </c>
    </row>
    <row r="26" spans="2:53" ht="15">
      <c r="B26" s="114" t="s">
        <v>9</v>
      </c>
      <c r="C26" s="115">
        <f>C25*$C$93</f>
        <v>2517.505624293193</v>
      </c>
      <c r="D26" s="115">
        <f aca="true" t="shared" si="12" ref="D26:BA26">D25*$C$93</f>
        <v>2573.122606343543</v>
      </c>
      <c r="E26" s="115">
        <f t="shared" si="12"/>
        <v>2629.8629468444483</v>
      </c>
      <c r="F26" s="115">
        <f t="shared" si="12"/>
        <v>2687.7491360173526</v>
      </c>
      <c r="G26" s="115">
        <f t="shared" si="12"/>
        <v>2746.8041139363595</v>
      </c>
      <c r="H26" s="115">
        <f t="shared" si="12"/>
        <v>2807.0512795253817</v>
      </c>
      <c r="I26" s="115">
        <f t="shared" si="12"/>
        <v>2868.5144997352395</v>
      </c>
      <c r="J26" s="115">
        <f t="shared" si="12"/>
        <v>2931.2181189043035</v>
      </c>
      <c r="K26" s="115">
        <f t="shared" si="12"/>
        <v>2995.1869683063414</v>
      </c>
      <c r="L26" s="115">
        <f t="shared" si="12"/>
        <v>3060.446375889333</v>
      </c>
      <c r="M26" s="115">
        <f t="shared" si="12"/>
        <v>3419.7084149164057</v>
      </c>
      <c r="N26" s="115">
        <f t="shared" si="12"/>
        <v>3494.093012463358</v>
      </c>
      <c r="O26" s="115">
        <f t="shared" si="12"/>
        <v>3569.977834528877</v>
      </c>
      <c r="P26" s="115">
        <f t="shared" si="12"/>
        <v>3647.392911822698</v>
      </c>
      <c r="Q26" s="115">
        <f t="shared" si="12"/>
        <v>3726.368875723606</v>
      </c>
      <c r="R26" s="115">
        <f t="shared" si="12"/>
        <v>3806.9369702929293</v>
      </c>
      <c r="S26" s="115">
        <f t="shared" si="12"/>
        <v>3889.129064528307</v>
      </c>
      <c r="T26" s="115">
        <f t="shared" si="12"/>
        <v>3972.977664862528</v>
      </c>
      <c r="U26" s="115">
        <f t="shared" si="12"/>
        <v>4058.5159279123523</v>
      </c>
      <c r="V26" s="115">
        <f t="shared" si="12"/>
        <v>4145.777673482304</v>
      </c>
      <c r="W26" s="115">
        <f t="shared" si="12"/>
        <v>4235.983493596882</v>
      </c>
      <c r="X26" s="115">
        <f t="shared" si="12"/>
        <v>4328.4193903412615</v>
      </c>
      <c r="Y26" s="115">
        <f t="shared" si="12"/>
        <v>4422.724360513641</v>
      </c>
      <c r="Z26" s="115">
        <f t="shared" si="12"/>
        <v>4518.935839280598</v>
      </c>
      <c r="AA26" s="115">
        <f t="shared" si="12"/>
        <v>4617.092010653699</v>
      </c>
      <c r="AB26" s="115">
        <f t="shared" si="12"/>
        <v>4717.231822466772</v>
      </c>
      <c r="AC26" s="115">
        <f t="shared" si="12"/>
        <v>4819.395001652728</v>
      </c>
      <c r="AD26" s="115">
        <f t="shared" si="12"/>
        <v>4923.62206982591</v>
      </c>
      <c r="AE26" s="115">
        <f t="shared" si="12"/>
        <v>5029.954359176112</v>
      </c>
      <c r="AF26" s="115">
        <f t="shared" si="12"/>
        <v>5138.434028680452</v>
      </c>
      <c r="AG26" s="115">
        <f t="shared" si="12"/>
        <v>5702.103792631821</v>
      </c>
      <c r="AH26" s="115">
        <f t="shared" si="12"/>
        <v>5825.263102101863</v>
      </c>
      <c r="AI26" s="115">
        <f t="shared" si="12"/>
        <v>5950.909649125938</v>
      </c>
      <c r="AJ26" s="115">
        <f t="shared" si="12"/>
        <v>6079.093241902894</v>
      </c>
      <c r="AK26" s="115">
        <f t="shared" si="12"/>
        <v>6209.864684962938</v>
      </c>
      <c r="AL26" s="115">
        <f t="shared" si="12"/>
        <v>6343.275799094693</v>
      </c>
      <c r="AM26" s="115">
        <f t="shared" si="12"/>
        <v>6479.379441670816</v>
      </c>
      <c r="AN26" s="115">
        <f t="shared" si="12"/>
        <v>6618.229527380123</v>
      </c>
      <c r="AO26" s="115">
        <f t="shared" si="12"/>
        <v>6759.881049374355</v>
      </c>
      <c r="AP26" s="115">
        <f t="shared" si="12"/>
        <v>6904.390100837883</v>
      </c>
      <c r="AQ26" s="115">
        <f t="shared" si="12"/>
        <v>7051.813896988801</v>
      </c>
      <c r="AR26" s="115">
        <f t="shared" si="12"/>
        <v>7202.210797520072</v>
      </c>
      <c r="AS26" s="115">
        <f t="shared" si="12"/>
        <v>3291.9660160385843</v>
      </c>
      <c r="AT26" s="115">
        <f t="shared" si="12"/>
        <v>3356.4953924902493</v>
      </c>
      <c r="AU26" s="115">
        <f t="shared" si="12"/>
        <v>3422.311900824317</v>
      </c>
      <c r="AV26" s="115">
        <f t="shared" si="12"/>
        <v>3489.4412745624</v>
      </c>
      <c r="AW26" s="115">
        <f t="shared" si="12"/>
        <v>3557.9097618724936</v>
      </c>
      <c r="AX26" s="115">
        <f t="shared" si="12"/>
        <v>3627.7441358618466</v>
      </c>
      <c r="AY26" s="115">
        <f t="shared" si="12"/>
        <v>3698.971705075672</v>
      </c>
      <c r="AZ26" s="115">
        <f t="shared" si="12"/>
        <v>3771.6203242058527</v>
      </c>
      <c r="BA26" s="115">
        <f t="shared" si="12"/>
        <v>3845.7184050138035</v>
      </c>
    </row>
    <row r="27" spans="2:53" ht="15">
      <c r="B27" s="114" t="s">
        <v>10</v>
      </c>
      <c r="C27" s="115">
        <f>C25*$C$94</f>
        <v>13610.494375706807</v>
      </c>
      <c r="D27" s="115">
        <f aca="true" t="shared" si="13" ref="D27:BA27">D25*$C$94</f>
        <v>13911.178757137972</v>
      </c>
      <c r="E27" s="115">
        <f t="shared" si="13"/>
        <v>14217.936397641786</v>
      </c>
      <c r="F27" s="115">
        <f t="shared" si="13"/>
        <v>14530.888887029017</v>
      </c>
      <c r="G27" s="115">
        <f t="shared" si="13"/>
        <v>14850.160247167409</v>
      </c>
      <c r="H27" s="115">
        <f t="shared" si="13"/>
        <v>15175.876980623318</v>
      </c>
      <c r="I27" s="115">
        <f t="shared" si="13"/>
        <v>15508.16812027627</v>
      </c>
      <c r="J27" s="115">
        <f t="shared" si="13"/>
        <v>15847.165279925759</v>
      </c>
      <c r="K27" s="115">
        <f t="shared" si="13"/>
        <v>16193.002705910185</v>
      </c>
      <c r="L27" s="115">
        <f t="shared" si="13"/>
        <v>16545.8173297582</v>
      </c>
      <c r="M27" s="115">
        <f t="shared" si="13"/>
        <v>18488.11049264071</v>
      </c>
      <c r="N27" s="115">
        <f t="shared" si="13"/>
        <v>18890.259006940953</v>
      </c>
      <c r="O27" s="115">
        <f t="shared" si="13"/>
        <v>19300.518246863892</v>
      </c>
      <c r="P27" s="115">
        <f t="shared" si="13"/>
        <v>19719.050568672817</v>
      </c>
      <c r="Q27" s="115">
        <f t="shared" si="13"/>
        <v>20146.02157605284</v>
      </c>
      <c r="R27" s="115">
        <f t="shared" si="13"/>
        <v>20581.600185059942</v>
      </c>
      <c r="S27" s="115">
        <f t="shared" si="13"/>
        <v>21025.95869036904</v>
      </c>
      <c r="T27" s="115">
        <f t="shared" si="13"/>
        <v>21479.27283284696</v>
      </c>
      <c r="U27" s="115">
        <f t="shared" si="13"/>
        <v>21941.72186847691</v>
      </c>
      <c r="V27" s="115">
        <f t="shared" si="13"/>
        <v>22413.488638661438</v>
      </c>
      <c r="W27" s="115">
        <f t="shared" si="13"/>
        <v>22901.17208034995</v>
      </c>
      <c r="X27" s="115">
        <f t="shared" si="13"/>
        <v>23400.912077199417</v>
      </c>
      <c r="Y27" s="115">
        <f t="shared" si="13"/>
        <v>23910.756922726912</v>
      </c>
      <c r="Z27" s="115">
        <f t="shared" si="13"/>
        <v>24430.909004215806</v>
      </c>
      <c r="AA27" s="115">
        <f t="shared" si="13"/>
        <v>24961.574757460978</v>
      </c>
      <c r="AB27" s="115">
        <f t="shared" si="13"/>
        <v>25502.964747741073</v>
      </c>
      <c r="AC27" s="115">
        <f t="shared" si="13"/>
        <v>26055.29375241019</v>
      </c>
      <c r="AD27" s="115">
        <f t="shared" si="13"/>
        <v>26618.780845141428</v>
      </c>
      <c r="AE27" s="115">
        <f t="shared" si="13"/>
        <v>27193.649481855307</v>
      </c>
      <c r="AF27" s="115">
        <f t="shared" si="13"/>
        <v>27780.12758836674</v>
      </c>
      <c r="AG27" s="115">
        <f t="shared" si="13"/>
        <v>30827.518655931886</v>
      </c>
      <c r="AH27" s="115">
        <f t="shared" si="13"/>
        <v>31493.359904778576</v>
      </c>
      <c r="AI27" s="115">
        <f t="shared" si="13"/>
        <v>32172.6480084857</v>
      </c>
      <c r="AJ27" s="115">
        <f t="shared" si="13"/>
        <v>32865.652247170765</v>
      </c>
      <c r="AK27" s="115">
        <f t="shared" si="13"/>
        <v>33572.6472874585</v>
      </c>
      <c r="AL27" s="115">
        <f t="shared" si="13"/>
        <v>34293.913290213444</v>
      </c>
      <c r="AM27" s="115">
        <f t="shared" si="13"/>
        <v>35029.73602042705</v>
      </c>
      <c r="AN27" s="115">
        <f t="shared" si="13"/>
        <v>35780.406959302716</v>
      </c>
      <c r="AO27" s="115">
        <f t="shared" si="13"/>
        <v>36546.22341858236</v>
      </c>
      <c r="AP27" s="115">
        <f t="shared" si="13"/>
        <v>37327.48865715964</v>
      </c>
      <c r="AQ27" s="115">
        <f t="shared" si="13"/>
        <v>38124.51200002537</v>
      </c>
      <c r="AR27" s="115">
        <f t="shared" si="13"/>
        <v>38937.60895959196</v>
      </c>
      <c r="AS27" s="115">
        <f t="shared" si="13"/>
        <v>17797.491498709358</v>
      </c>
      <c r="AT27" s="115">
        <f t="shared" si="13"/>
        <v>18146.35932517542</v>
      </c>
      <c r="AU27" s="115">
        <f t="shared" si="13"/>
        <v>18502.185825766057</v>
      </c>
      <c r="AV27" s="115">
        <f t="shared" si="13"/>
        <v>18865.110124679355</v>
      </c>
      <c r="AW27" s="115">
        <f t="shared" si="13"/>
        <v>19235.27412846736</v>
      </c>
      <c r="AX27" s="115">
        <f t="shared" si="13"/>
        <v>19612.822581682813</v>
      </c>
      <c r="AY27" s="115">
        <f t="shared" si="13"/>
        <v>19997.903123638785</v>
      </c>
      <c r="AZ27" s="115">
        <f t="shared" si="13"/>
        <v>20390.666346303602</v>
      </c>
      <c r="BA27" s="115">
        <f t="shared" si="13"/>
        <v>20791.265853353532</v>
      </c>
    </row>
    <row r="28" spans="2:53" ht="15">
      <c r="B28" s="118"/>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row>
    <row r="29" spans="2:53" ht="15">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row>
    <row r="30" ht="15">
      <c r="B30" s="113" t="s">
        <v>247</v>
      </c>
    </row>
    <row r="32" ht="15">
      <c r="B32" s="113" t="s">
        <v>249</v>
      </c>
    </row>
    <row r="34" spans="2:53" ht="15">
      <c r="B34" s="114" t="s">
        <v>201</v>
      </c>
      <c r="C34" s="115">
        <v>0</v>
      </c>
      <c r="D34" s="115">
        <f>C26</f>
        <v>2517.505624293193</v>
      </c>
      <c r="E34" s="115">
        <f>D34+D26</f>
        <v>5090.628230636736</v>
      </c>
      <c r="F34" s="115">
        <f aca="true" t="shared" si="14" ref="F34:BA34">E34+E26</f>
        <v>7720.491177481184</v>
      </c>
      <c r="G34" s="115">
        <f t="shared" si="14"/>
        <v>10408.240313498536</v>
      </c>
      <c r="H34" s="115">
        <f t="shared" si="14"/>
        <v>13155.044427434896</v>
      </c>
      <c r="I34" s="115">
        <f t="shared" si="14"/>
        <v>15962.095706960277</v>
      </c>
      <c r="J34" s="115">
        <f t="shared" si="14"/>
        <v>18830.610206695517</v>
      </c>
      <c r="K34" s="115">
        <f t="shared" si="14"/>
        <v>21761.82832559982</v>
      </c>
      <c r="L34" s="115">
        <f t="shared" si="14"/>
        <v>24757.015293906163</v>
      </c>
      <c r="M34" s="115">
        <f t="shared" si="14"/>
        <v>27817.461669795495</v>
      </c>
      <c r="N34" s="115">
        <f t="shared" si="14"/>
        <v>31237.1700847119</v>
      </c>
      <c r="O34" s="115">
        <f t="shared" si="14"/>
        <v>34731.26309717526</v>
      </c>
      <c r="P34" s="115">
        <f t="shared" si="14"/>
        <v>38301.24093170414</v>
      </c>
      <c r="Q34" s="115">
        <f t="shared" si="14"/>
        <v>41948.63384352683</v>
      </c>
      <c r="R34" s="115">
        <f t="shared" si="14"/>
        <v>45675.00271925044</v>
      </c>
      <c r="S34" s="115">
        <f t="shared" si="14"/>
        <v>49481.939689543375</v>
      </c>
      <c r="T34" s="115">
        <f t="shared" si="14"/>
        <v>53371.06875407168</v>
      </c>
      <c r="U34" s="115">
        <f t="shared" si="14"/>
        <v>57344.04641893421</v>
      </c>
      <c r="V34" s="115">
        <f t="shared" si="14"/>
        <v>61402.562346846564</v>
      </c>
      <c r="W34" s="115">
        <f t="shared" si="14"/>
        <v>65548.34002032886</v>
      </c>
      <c r="X34" s="115">
        <f t="shared" si="14"/>
        <v>69784.32351392574</v>
      </c>
      <c r="Y34" s="115">
        <f t="shared" si="14"/>
        <v>74112.74290426701</v>
      </c>
      <c r="Z34" s="115">
        <f t="shared" si="14"/>
        <v>78535.46726478066</v>
      </c>
      <c r="AA34" s="115">
        <f t="shared" si="14"/>
        <v>83054.40310406126</v>
      </c>
      <c r="AB34" s="115">
        <f t="shared" si="14"/>
        <v>87671.49511471495</v>
      </c>
      <c r="AC34" s="115">
        <f t="shared" si="14"/>
        <v>92388.72693718172</v>
      </c>
      <c r="AD34" s="115">
        <f t="shared" si="14"/>
        <v>97208.12193883445</v>
      </c>
      <c r="AE34" s="115">
        <f t="shared" si="14"/>
        <v>102131.74400866036</v>
      </c>
      <c r="AF34" s="115">
        <f t="shared" si="14"/>
        <v>107161.69836783648</v>
      </c>
      <c r="AG34" s="115">
        <f t="shared" si="14"/>
        <v>112300.13239651693</v>
      </c>
      <c r="AH34" s="115">
        <f t="shared" si="14"/>
        <v>118002.23618914875</v>
      </c>
      <c r="AI34" s="115">
        <f t="shared" si="14"/>
        <v>123827.49929125061</v>
      </c>
      <c r="AJ34" s="115">
        <f t="shared" si="14"/>
        <v>129778.40894037655</v>
      </c>
      <c r="AK34" s="115">
        <f t="shared" si="14"/>
        <v>135857.50218227945</v>
      </c>
      <c r="AL34" s="115">
        <f t="shared" si="14"/>
        <v>142067.36686724238</v>
      </c>
      <c r="AM34" s="115">
        <f t="shared" si="14"/>
        <v>148410.64266633708</v>
      </c>
      <c r="AN34" s="115">
        <f t="shared" si="14"/>
        <v>154890.0221080079</v>
      </c>
      <c r="AO34" s="115">
        <f t="shared" si="14"/>
        <v>161508.251635388</v>
      </c>
      <c r="AP34" s="115">
        <f t="shared" si="14"/>
        <v>168268.13268476236</v>
      </c>
      <c r="AQ34" s="115">
        <f t="shared" si="14"/>
        <v>175172.52278560025</v>
      </c>
      <c r="AR34" s="115">
        <f t="shared" si="14"/>
        <v>182224.33668258906</v>
      </c>
      <c r="AS34" s="115">
        <f t="shared" si="14"/>
        <v>189426.54748010912</v>
      </c>
      <c r="AT34" s="115">
        <f t="shared" si="14"/>
        <v>192718.5134961477</v>
      </c>
      <c r="AU34" s="115">
        <f t="shared" si="14"/>
        <v>196075.00888863794</v>
      </c>
      <c r="AV34" s="115">
        <f t="shared" si="14"/>
        <v>199497.32078946225</v>
      </c>
      <c r="AW34" s="115">
        <f t="shared" si="14"/>
        <v>202986.76206402466</v>
      </c>
      <c r="AX34" s="115">
        <f t="shared" si="14"/>
        <v>206544.67182589715</v>
      </c>
      <c r="AY34" s="115">
        <f t="shared" si="14"/>
        <v>210172.415961759</v>
      </c>
      <c r="AZ34" s="115">
        <f t="shared" si="14"/>
        <v>213871.38766683466</v>
      </c>
      <c r="BA34" s="115">
        <f t="shared" si="14"/>
        <v>217643.0079910405</v>
      </c>
    </row>
    <row r="35" spans="2:53" ht="15">
      <c r="B35" s="114" t="s">
        <v>202</v>
      </c>
      <c r="C35" s="117">
        <v>1</v>
      </c>
      <c r="D35" s="117">
        <f>C35</f>
        <v>1</v>
      </c>
      <c r="E35" s="117">
        <f aca="true" t="shared" si="15" ref="E35:BA35">D35</f>
        <v>1</v>
      </c>
      <c r="F35" s="117">
        <f t="shared" si="15"/>
        <v>1</v>
      </c>
      <c r="G35" s="117">
        <f t="shared" si="15"/>
        <v>1</v>
      </c>
      <c r="H35" s="117">
        <f t="shared" si="15"/>
        <v>1</v>
      </c>
      <c r="I35" s="117">
        <f t="shared" si="15"/>
        <v>1</v>
      </c>
      <c r="J35" s="117">
        <f t="shared" si="15"/>
        <v>1</v>
      </c>
      <c r="K35" s="117">
        <f t="shared" si="15"/>
        <v>1</v>
      </c>
      <c r="L35" s="117">
        <f t="shared" si="15"/>
        <v>1</v>
      </c>
      <c r="M35" s="117">
        <f t="shared" si="15"/>
        <v>1</v>
      </c>
      <c r="N35" s="117">
        <f t="shared" si="15"/>
        <v>1</v>
      </c>
      <c r="O35" s="117">
        <f t="shared" si="15"/>
        <v>1</v>
      </c>
      <c r="P35" s="117">
        <f t="shared" si="15"/>
        <v>1</v>
      </c>
      <c r="Q35" s="117">
        <f t="shared" si="15"/>
        <v>1</v>
      </c>
      <c r="R35" s="117">
        <f t="shared" si="15"/>
        <v>1</v>
      </c>
      <c r="S35" s="117">
        <f t="shared" si="15"/>
        <v>1</v>
      </c>
      <c r="T35" s="117">
        <f t="shared" si="15"/>
        <v>1</v>
      </c>
      <c r="U35" s="117">
        <f t="shared" si="15"/>
        <v>1</v>
      </c>
      <c r="V35" s="117">
        <f t="shared" si="15"/>
        <v>1</v>
      </c>
      <c r="W35" s="117">
        <f t="shared" si="15"/>
        <v>1</v>
      </c>
      <c r="X35" s="117">
        <f t="shared" si="15"/>
        <v>1</v>
      </c>
      <c r="Y35" s="117">
        <f t="shared" si="15"/>
        <v>1</v>
      </c>
      <c r="Z35" s="117">
        <f t="shared" si="15"/>
        <v>1</v>
      </c>
      <c r="AA35" s="117">
        <f t="shared" si="15"/>
        <v>1</v>
      </c>
      <c r="AB35" s="117">
        <f t="shared" si="15"/>
        <v>1</v>
      </c>
      <c r="AC35" s="117">
        <f t="shared" si="15"/>
        <v>1</v>
      </c>
      <c r="AD35" s="117">
        <f t="shared" si="15"/>
        <v>1</v>
      </c>
      <c r="AE35" s="117">
        <f t="shared" si="15"/>
        <v>1</v>
      </c>
      <c r="AF35" s="117">
        <f t="shared" si="15"/>
        <v>1</v>
      </c>
      <c r="AG35" s="117">
        <f t="shared" si="15"/>
        <v>1</v>
      </c>
      <c r="AH35" s="117">
        <f t="shared" si="15"/>
        <v>1</v>
      </c>
      <c r="AI35" s="117">
        <f t="shared" si="15"/>
        <v>1</v>
      </c>
      <c r="AJ35" s="117">
        <f t="shared" si="15"/>
        <v>1</v>
      </c>
      <c r="AK35" s="117">
        <f t="shared" si="15"/>
        <v>1</v>
      </c>
      <c r="AL35" s="117">
        <f t="shared" si="15"/>
        <v>1</v>
      </c>
      <c r="AM35" s="117">
        <f t="shared" si="15"/>
        <v>1</v>
      </c>
      <c r="AN35" s="117">
        <f t="shared" si="15"/>
        <v>1</v>
      </c>
      <c r="AO35" s="117">
        <f t="shared" si="15"/>
        <v>1</v>
      </c>
      <c r="AP35" s="117">
        <f t="shared" si="15"/>
        <v>1</v>
      </c>
      <c r="AQ35" s="117">
        <f t="shared" si="15"/>
        <v>1</v>
      </c>
      <c r="AR35" s="117">
        <f t="shared" si="15"/>
        <v>1</v>
      </c>
      <c r="AS35" s="117">
        <f t="shared" si="15"/>
        <v>1</v>
      </c>
      <c r="AT35" s="117">
        <f t="shared" si="15"/>
        <v>1</v>
      </c>
      <c r="AU35" s="117">
        <f t="shared" si="15"/>
        <v>1</v>
      </c>
      <c r="AV35" s="117">
        <f t="shared" si="15"/>
        <v>1</v>
      </c>
      <c r="AW35" s="117">
        <f t="shared" si="15"/>
        <v>1</v>
      </c>
      <c r="AX35" s="117">
        <f t="shared" si="15"/>
        <v>1</v>
      </c>
      <c r="AY35" s="117">
        <f t="shared" si="15"/>
        <v>1</v>
      </c>
      <c r="AZ35" s="117">
        <f t="shared" si="15"/>
        <v>1</v>
      </c>
      <c r="BA35" s="117">
        <f t="shared" si="15"/>
        <v>1</v>
      </c>
    </row>
    <row r="36" spans="2:53" ht="15">
      <c r="B36" s="114" t="s">
        <v>203</v>
      </c>
      <c r="C36" s="117">
        <f>1-C35</f>
        <v>0</v>
      </c>
      <c r="D36" s="117">
        <f aca="true" t="shared" si="16" ref="D36:BA36">1-D35</f>
        <v>0</v>
      </c>
      <c r="E36" s="117">
        <f t="shared" si="16"/>
        <v>0</v>
      </c>
      <c r="F36" s="117">
        <f t="shared" si="16"/>
        <v>0</v>
      </c>
      <c r="G36" s="117">
        <f t="shared" si="16"/>
        <v>0</v>
      </c>
      <c r="H36" s="117">
        <f t="shared" si="16"/>
        <v>0</v>
      </c>
      <c r="I36" s="117">
        <f t="shared" si="16"/>
        <v>0</v>
      </c>
      <c r="J36" s="117">
        <f t="shared" si="16"/>
        <v>0</v>
      </c>
      <c r="K36" s="117">
        <f t="shared" si="16"/>
        <v>0</v>
      </c>
      <c r="L36" s="117">
        <f t="shared" si="16"/>
        <v>0</v>
      </c>
      <c r="M36" s="117">
        <f t="shared" si="16"/>
        <v>0</v>
      </c>
      <c r="N36" s="117">
        <f t="shared" si="16"/>
        <v>0</v>
      </c>
      <c r="O36" s="117">
        <f t="shared" si="16"/>
        <v>0</v>
      </c>
      <c r="P36" s="117">
        <f t="shared" si="16"/>
        <v>0</v>
      </c>
      <c r="Q36" s="117">
        <f t="shared" si="16"/>
        <v>0</v>
      </c>
      <c r="R36" s="117">
        <f t="shared" si="16"/>
        <v>0</v>
      </c>
      <c r="S36" s="117">
        <f t="shared" si="16"/>
        <v>0</v>
      </c>
      <c r="T36" s="117">
        <f t="shared" si="16"/>
        <v>0</v>
      </c>
      <c r="U36" s="117">
        <f t="shared" si="16"/>
        <v>0</v>
      </c>
      <c r="V36" s="117">
        <f t="shared" si="16"/>
        <v>0</v>
      </c>
      <c r="W36" s="117">
        <f t="shared" si="16"/>
        <v>0</v>
      </c>
      <c r="X36" s="117">
        <f t="shared" si="16"/>
        <v>0</v>
      </c>
      <c r="Y36" s="117">
        <f t="shared" si="16"/>
        <v>0</v>
      </c>
      <c r="Z36" s="117">
        <f t="shared" si="16"/>
        <v>0</v>
      </c>
      <c r="AA36" s="117">
        <f t="shared" si="16"/>
        <v>0</v>
      </c>
      <c r="AB36" s="117">
        <f t="shared" si="16"/>
        <v>0</v>
      </c>
      <c r="AC36" s="117">
        <f t="shared" si="16"/>
        <v>0</v>
      </c>
      <c r="AD36" s="117">
        <f t="shared" si="16"/>
        <v>0</v>
      </c>
      <c r="AE36" s="117">
        <f t="shared" si="16"/>
        <v>0</v>
      </c>
      <c r="AF36" s="117">
        <f t="shared" si="16"/>
        <v>0</v>
      </c>
      <c r="AG36" s="117">
        <f t="shared" si="16"/>
        <v>0</v>
      </c>
      <c r="AH36" s="117">
        <f t="shared" si="16"/>
        <v>0</v>
      </c>
      <c r="AI36" s="117">
        <f t="shared" si="16"/>
        <v>0</v>
      </c>
      <c r="AJ36" s="117">
        <f t="shared" si="16"/>
        <v>0</v>
      </c>
      <c r="AK36" s="117">
        <f t="shared" si="16"/>
        <v>0</v>
      </c>
      <c r="AL36" s="117">
        <f t="shared" si="16"/>
        <v>0</v>
      </c>
      <c r="AM36" s="117">
        <f t="shared" si="16"/>
        <v>0</v>
      </c>
      <c r="AN36" s="117">
        <f t="shared" si="16"/>
        <v>0</v>
      </c>
      <c r="AO36" s="117">
        <f t="shared" si="16"/>
        <v>0</v>
      </c>
      <c r="AP36" s="117">
        <f t="shared" si="16"/>
        <v>0</v>
      </c>
      <c r="AQ36" s="117">
        <f t="shared" si="16"/>
        <v>0</v>
      </c>
      <c r="AR36" s="117">
        <f t="shared" si="16"/>
        <v>0</v>
      </c>
      <c r="AS36" s="117">
        <f t="shared" si="16"/>
        <v>0</v>
      </c>
      <c r="AT36" s="117">
        <f t="shared" si="16"/>
        <v>0</v>
      </c>
      <c r="AU36" s="117">
        <f t="shared" si="16"/>
        <v>0</v>
      </c>
      <c r="AV36" s="117">
        <f t="shared" si="16"/>
        <v>0</v>
      </c>
      <c r="AW36" s="117">
        <f t="shared" si="16"/>
        <v>0</v>
      </c>
      <c r="AX36" s="117">
        <f t="shared" si="16"/>
        <v>0</v>
      </c>
      <c r="AY36" s="117">
        <f t="shared" si="16"/>
        <v>0</v>
      </c>
      <c r="AZ36" s="117">
        <f t="shared" si="16"/>
        <v>0</v>
      </c>
      <c r="BA36" s="117">
        <f t="shared" si="16"/>
        <v>0</v>
      </c>
    </row>
    <row r="37" spans="3:53" ht="15">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row>
    <row r="38" spans="2:53" ht="15">
      <c r="B38" s="114" t="s">
        <v>223</v>
      </c>
      <c r="C38" s="115">
        <f>C96</f>
        <v>42650</v>
      </c>
      <c r="D38" s="115">
        <f aca="true" t="shared" si="17" ref="D38:AI38">C38*(1+D84)</f>
        <v>43503</v>
      </c>
      <c r="E38" s="115">
        <f t="shared" si="17"/>
        <v>44373.06</v>
      </c>
      <c r="F38" s="115">
        <f t="shared" si="17"/>
        <v>45260.521199999996</v>
      </c>
      <c r="G38" s="115">
        <f t="shared" si="17"/>
        <v>46165.73162399999</v>
      </c>
      <c r="H38" s="115">
        <f t="shared" si="17"/>
        <v>47089.04625648</v>
      </c>
      <c r="I38" s="115">
        <f t="shared" si="17"/>
        <v>48030.827181609595</v>
      </c>
      <c r="J38" s="115">
        <f t="shared" si="17"/>
        <v>48991.443725241785</v>
      </c>
      <c r="K38" s="115">
        <f t="shared" si="17"/>
        <v>49971.27259974662</v>
      </c>
      <c r="L38" s="115">
        <f t="shared" si="17"/>
        <v>50970.69805174155</v>
      </c>
      <c r="M38" s="115">
        <f t="shared" si="17"/>
        <v>51990.11201277638</v>
      </c>
      <c r="N38" s="115">
        <f t="shared" si="17"/>
        <v>53029.91425303191</v>
      </c>
      <c r="O38" s="115">
        <f t="shared" si="17"/>
        <v>54090.512538092546</v>
      </c>
      <c r="P38" s="115">
        <f t="shared" si="17"/>
        <v>55172.3227888544</v>
      </c>
      <c r="Q38" s="115">
        <f t="shared" si="17"/>
        <v>56275.76924463149</v>
      </c>
      <c r="R38" s="115">
        <f t="shared" si="17"/>
        <v>57401.28462952412</v>
      </c>
      <c r="S38" s="115">
        <f t="shared" si="17"/>
        <v>58549.3103221146</v>
      </c>
      <c r="T38" s="115">
        <f t="shared" si="17"/>
        <v>59720.29652855689</v>
      </c>
      <c r="U38" s="115">
        <f t="shared" si="17"/>
        <v>60914.702459128035</v>
      </c>
      <c r="V38" s="115">
        <f t="shared" si="17"/>
        <v>62132.9965083106</v>
      </c>
      <c r="W38" s="115">
        <f t="shared" si="17"/>
        <v>63375.65643847681</v>
      </c>
      <c r="X38" s="115">
        <f t="shared" si="17"/>
        <v>64643.169567246354</v>
      </c>
      <c r="Y38" s="115">
        <f t="shared" si="17"/>
        <v>65936.03295859128</v>
      </c>
      <c r="Z38" s="115">
        <f t="shared" si="17"/>
        <v>67254.75361776311</v>
      </c>
      <c r="AA38" s="115">
        <f t="shared" si="17"/>
        <v>68599.84869011838</v>
      </c>
      <c r="AB38" s="115">
        <f t="shared" si="17"/>
        <v>69971.84566392074</v>
      </c>
      <c r="AC38" s="115">
        <f t="shared" si="17"/>
        <v>71371.28257719916</v>
      </c>
      <c r="AD38" s="115">
        <f t="shared" si="17"/>
        <v>72798.70822874314</v>
      </c>
      <c r="AE38" s="115">
        <f t="shared" si="17"/>
        <v>74254.682393318</v>
      </c>
      <c r="AF38" s="115">
        <f t="shared" si="17"/>
        <v>75739.77604118436</v>
      </c>
      <c r="AG38" s="115">
        <f t="shared" si="17"/>
        <v>77254.57156200804</v>
      </c>
      <c r="AH38" s="115">
        <f t="shared" si="17"/>
        <v>78799.6629932482</v>
      </c>
      <c r="AI38" s="115">
        <f t="shared" si="17"/>
        <v>80375.65625311316</v>
      </c>
      <c r="AJ38" s="115">
        <f aca="true" t="shared" si="18" ref="AJ38:BA38">AI38*(1+AJ84)</f>
        <v>81983.16937817543</v>
      </c>
      <c r="AK38" s="115">
        <f t="shared" si="18"/>
        <v>83622.83276573895</v>
      </c>
      <c r="AL38" s="115">
        <f t="shared" si="18"/>
        <v>85295.28942105372</v>
      </c>
      <c r="AM38" s="115">
        <f t="shared" si="18"/>
        <v>87001.1952094748</v>
      </c>
      <c r="AN38" s="115">
        <f t="shared" si="18"/>
        <v>88741.2191136643</v>
      </c>
      <c r="AO38" s="115">
        <f t="shared" si="18"/>
        <v>90516.04349593759</v>
      </c>
      <c r="AP38" s="115">
        <f t="shared" si="18"/>
        <v>92326.36436585634</v>
      </c>
      <c r="AQ38" s="115">
        <f t="shared" si="18"/>
        <v>94172.89165317347</v>
      </c>
      <c r="AR38" s="115">
        <f t="shared" si="18"/>
        <v>96056.34948623694</v>
      </c>
      <c r="AS38" s="115">
        <f t="shared" si="18"/>
        <v>97977.47647596168</v>
      </c>
      <c r="AT38" s="115">
        <f t="shared" si="18"/>
        <v>99937.02600548092</v>
      </c>
      <c r="AU38" s="115">
        <f t="shared" si="18"/>
        <v>101935.76652559054</v>
      </c>
      <c r="AV38" s="115">
        <f t="shared" si="18"/>
        <v>103974.48185610236</v>
      </c>
      <c r="AW38" s="115">
        <f t="shared" si="18"/>
        <v>106053.97149322441</v>
      </c>
      <c r="AX38" s="115">
        <f t="shared" si="18"/>
        <v>108175.0509230889</v>
      </c>
      <c r="AY38" s="115">
        <f t="shared" si="18"/>
        <v>110338.55194155069</v>
      </c>
      <c r="AZ38" s="115">
        <f t="shared" si="18"/>
        <v>112545.32298038171</v>
      </c>
      <c r="BA38" s="115">
        <f t="shared" si="18"/>
        <v>114796.22943998934</v>
      </c>
    </row>
    <row r="39" spans="3:53" ht="15">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row>
    <row r="40" spans="2:53" ht="15">
      <c r="B40" s="114" t="s">
        <v>218</v>
      </c>
      <c r="C40" s="115">
        <f>IF(C34&lt;C38,C34,C38)</f>
        <v>0</v>
      </c>
      <c r="D40" s="115">
        <f>IF(D34&lt;D38,D34,D38)</f>
        <v>2517.505624293193</v>
      </c>
      <c r="E40" s="115">
        <f aca="true" t="shared" si="19" ref="E40:BA40">IF(E34&lt;E38,E34,E38)</f>
        <v>5090.628230636736</v>
      </c>
      <c r="F40" s="115">
        <f t="shared" si="19"/>
        <v>7720.491177481184</v>
      </c>
      <c r="G40" s="115">
        <f t="shared" si="19"/>
        <v>10408.240313498536</v>
      </c>
      <c r="H40" s="115">
        <f t="shared" si="19"/>
        <v>13155.044427434896</v>
      </c>
      <c r="I40" s="115">
        <f t="shared" si="19"/>
        <v>15962.095706960277</v>
      </c>
      <c r="J40" s="115">
        <f t="shared" si="19"/>
        <v>18830.610206695517</v>
      </c>
      <c r="K40" s="115">
        <f t="shared" si="19"/>
        <v>21761.82832559982</v>
      </c>
      <c r="L40" s="115">
        <f t="shared" si="19"/>
        <v>24757.015293906163</v>
      </c>
      <c r="M40" s="115">
        <f t="shared" si="19"/>
        <v>27817.461669795495</v>
      </c>
      <c r="N40" s="115">
        <f t="shared" si="19"/>
        <v>31237.1700847119</v>
      </c>
      <c r="O40" s="115">
        <f t="shared" si="19"/>
        <v>34731.26309717526</v>
      </c>
      <c r="P40" s="115">
        <f t="shared" si="19"/>
        <v>38301.24093170414</v>
      </c>
      <c r="Q40" s="115">
        <f t="shared" si="19"/>
        <v>41948.63384352683</v>
      </c>
      <c r="R40" s="115">
        <f t="shared" si="19"/>
        <v>45675.00271925044</v>
      </c>
      <c r="S40" s="115">
        <f t="shared" si="19"/>
        <v>49481.939689543375</v>
      </c>
      <c r="T40" s="115">
        <f t="shared" si="19"/>
        <v>53371.06875407168</v>
      </c>
      <c r="U40" s="115">
        <f t="shared" si="19"/>
        <v>57344.04641893421</v>
      </c>
      <c r="V40" s="115">
        <f t="shared" si="19"/>
        <v>61402.562346846564</v>
      </c>
      <c r="W40" s="115">
        <f t="shared" si="19"/>
        <v>63375.65643847681</v>
      </c>
      <c r="X40" s="115">
        <f t="shared" si="19"/>
        <v>64643.169567246354</v>
      </c>
      <c r="Y40" s="115">
        <f t="shared" si="19"/>
        <v>65936.03295859128</v>
      </c>
      <c r="Z40" s="115">
        <f t="shared" si="19"/>
        <v>67254.75361776311</v>
      </c>
      <c r="AA40" s="115">
        <f t="shared" si="19"/>
        <v>68599.84869011838</v>
      </c>
      <c r="AB40" s="115">
        <f t="shared" si="19"/>
        <v>69971.84566392074</v>
      </c>
      <c r="AC40" s="115">
        <f t="shared" si="19"/>
        <v>71371.28257719916</v>
      </c>
      <c r="AD40" s="115">
        <f t="shared" si="19"/>
        <v>72798.70822874314</v>
      </c>
      <c r="AE40" s="115">
        <f t="shared" si="19"/>
        <v>74254.682393318</v>
      </c>
      <c r="AF40" s="115">
        <f t="shared" si="19"/>
        <v>75739.77604118436</v>
      </c>
      <c r="AG40" s="115">
        <f t="shared" si="19"/>
        <v>77254.57156200804</v>
      </c>
      <c r="AH40" s="115">
        <f t="shared" si="19"/>
        <v>78799.6629932482</v>
      </c>
      <c r="AI40" s="115">
        <f t="shared" si="19"/>
        <v>80375.65625311316</v>
      </c>
      <c r="AJ40" s="115">
        <f t="shared" si="19"/>
        <v>81983.16937817543</v>
      </c>
      <c r="AK40" s="115">
        <f t="shared" si="19"/>
        <v>83622.83276573895</v>
      </c>
      <c r="AL40" s="115">
        <f t="shared" si="19"/>
        <v>85295.28942105372</v>
      </c>
      <c r="AM40" s="115">
        <f t="shared" si="19"/>
        <v>87001.1952094748</v>
      </c>
      <c r="AN40" s="115">
        <f t="shared" si="19"/>
        <v>88741.2191136643</v>
      </c>
      <c r="AO40" s="115">
        <f t="shared" si="19"/>
        <v>90516.04349593759</v>
      </c>
      <c r="AP40" s="115">
        <f t="shared" si="19"/>
        <v>92326.36436585634</v>
      </c>
      <c r="AQ40" s="115">
        <f t="shared" si="19"/>
        <v>94172.89165317347</v>
      </c>
      <c r="AR40" s="115">
        <f t="shared" si="19"/>
        <v>96056.34948623694</v>
      </c>
      <c r="AS40" s="115">
        <f t="shared" si="19"/>
        <v>97977.47647596168</v>
      </c>
      <c r="AT40" s="115">
        <f t="shared" si="19"/>
        <v>99937.02600548092</v>
      </c>
      <c r="AU40" s="115">
        <f t="shared" si="19"/>
        <v>101935.76652559054</v>
      </c>
      <c r="AV40" s="115">
        <f t="shared" si="19"/>
        <v>103974.48185610236</v>
      </c>
      <c r="AW40" s="115">
        <f t="shared" si="19"/>
        <v>106053.97149322441</v>
      </c>
      <c r="AX40" s="115">
        <f t="shared" si="19"/>
        <v>108175.0509230889</v>
      </c>
      <c r="AY40" s="115">
        <f t="shared" si="19"/>
        <v>110338.55194155069</v>
      </c>
      <c r="AZ40" s="115">
        <f t="shared" si="19"/>
        <v>112545.32298038171</v>
      </c>
      <c r="BA40" s="115">
        <f t="shared" si="19"/>
        <v>114796.22943998934</v>
      </c>
    </row>
    <row r="41" spans="2:53" ht="15">
      <c r="B41" s="114" t="s">
        <v>219</v>
      </c>
      <c r="C41" s="115">
        <f>C34-C40</f>
        <v>0</v>
      </c>
      <c r="D41" s="115">
        <f aca="true" t="shared" si="20" ref="D41:BA41">D34-D40</f>
        <v>0</v>
      </c>
      <c r="E41" s="115">
        <f t="shared" si="20"/>
        <v>0</v>
      </c>
      <c r="F41" s="115">
        <f t="shared" si="20"/>
        <v>0</v>
      </c>
      <c r="G41" s="115">
        <f t="shared" si="20"/>
        <v>0</v>
      </c>
      <c r="H41" s="115">
        <f t="shared" si="20"/>
        <v>0</v>
      </c>
      <c r="I41" s="115">
        <f t="shared" si="20"/>
        <v>0</v>
      </c>
      <c r="J41" s="115">
        <f t="shared" si="20"/>
        <v>0</v>
      </c>
      <c r="K41" s="115">
        <f t="shared" si="20"/>
        <v>0</v>
      </c>
      <c r="L41" s="115">
        <f t="shared" si="20"/>
        <v>0</v>
      </c>
      <c r="M41" s="115">
        <f t="shared" si="20"/>
        <v>0</v>
      </c>
      <c r="N41" s="115">
        <f t="shared" si="20"/>
        <v>0</v>
      </c>
      <c r="O41" s="115">
        <f t="shared" si="20"/>
        <v>0</v>
      </c>
      <c r="P41" s="115">
        <f t="shared" si="20"/>
        <v>0</v>
      </c>
      <c r="Q41" s="115">
        <f t="shared" si="20"/>
        <v>0</v>
      </c>
      <c r="R41" s="115">
        <f t="shared" si="20"/>
        <v>0</v>
      </c>
      <c r="S41" s="115">
        <f t="shared" si="20"/>
        <v>0</v>
      </c>
      <c r="T41" s="115">
        <f t="shared" si="20"/>
        <v>0</v>
      </c>
      <c r="U41" s="115">
        <f t="shared" si="20"/>
        <v>0</v>
      </c>
      <c r="V41" s="115">
        <f t="shared" si="20"/>
        <v>0</v>
      </c>
      <c r="W41" s="115">
        <f t="shared" si="20"/>
        <v>2172.6835818520485</v>
      </c>
      <c r="X41" s="115">
        <f t="shared" si="20"/>
        <v>5141.153946679391</v>
      </c>
      <c r="Y41" s="115">
        <f t="shared" si="20"/>
        <v>8176.709945675728</v>
      </c>
      <c r="Z41" s="115">
        <f t="shared" si="20"/>
        <v>11280.713647017546</v>
      </c>
      <c r="AA41" s="115">
        <f t="shared" si="20"/>
        <v>14454.554413942882</v>
      </c>
      <c r="AB41" s="115">
        <f t="shared" si="20"/>
        <v>17699.64945079421</v>
      </c>
      <c r="AC41" s="115">
        <f t="shared" si="20"/>
        <v>21017.44435998256</v>
      </c>
      <c r="AD41" s="115">
        <f t="shared" si="20"/>
        <v>24409.413710091307</v>
      </c>
      <c r="AE41" s="115">
        <f t="shared" si="20"/>
        <v>27877.06161534236</v>
      </c>
      <c r="AF41" s="115">
        <f t="shared" si="20"/>
        <v>31421.922326652115</v>
      </c>
      <c r="AG41" s="115">
        <f t="shared" si="20"/>
        <v>35045.560834508884</v>
      </c>
      <c r="AH41" s="115">
        <f t="shared" si="20"/>
        <v>39202.57319590055</v>
      </c>
      <c r="AI41" s="115">
        <f t="shared" si="20"/>
        <v>43451.84303813745</v>
      </c>
      <c r="AJ41" s="115">
        <f t="shared" si="20"/>
        <v>47795.239562201124</v>
      </c>
      <c r="AK41" s="115">
        <f t="shared" si="20"/>
        <v>52234.669416540506</v>
      </c>
      <c r="AL41" s="115">
        <f t="shared" si="20"/>
        <v>56772.07744618866</v>
      </c>
      <c r="AM41" s="115">
        <f t="shared" si="20"/>
        <v>61409.44745686228</v>
      </c>
      <c r="AN41" s="115">
        <f t="shared" si="20"/>
        <v>66148.8029943436</v>
      </c>
      <c r="AO41" s="115">
        <f t="shared" si="20"/>
        <v>70992.20813945042</v>
      </c>
      <c r="AP41" s="115">
        <f t="shared" si="20"/>
        <v>75941.76831890602</v>
      </c>
      <c r="AQ41" s="115">
        <f t="shared" si="20"/>
        <v>80999.63113242677</v>
      </c>
      <c r="AR41" s="115">
        <f t="shared" si="20"/>
        <v>86167.98719635211</v>
      </c>
      <c r="AS41" s="115">
        <f t="shared" si="20"/>
        <v>91449.07100414744</v>
      </c>
      <c r="AT41" s="115">
        <f t="shared" si="20"/>
        <v>92781.48749066678</v>
      </c>
      <c r="AU41" s="115">
        <f t="shared" si="20"/>
        <v>94139.2423630474</v>
      </c>
      <c r="AV41" s="115">
        <f t="shared" si="20"/>
        <v>95522.83893335989</v>
      </c>
      <c r="AW41" s="115">
        <f t="shared" si="20"/>
        <v>96932.79057080025</v>
      </c>
      <c r="AX41" s="115">
        <f t="shared" si="20"/>
        <v>98369.62090280825</v>
      </c>
      <c r="AY41" s="115">
        <f t="shared" si="20"/>
        <v>99833.8640202083</v>
      </c>
      <c r="AZ41" s="115">
        <f t="shared" si="20"/>
        <v>101326.06468645296</v>
      </c>
      <c r="BA41" s="115">
        <f t="shared" si="20"/>
        <v>102846.77855105116</v>
      </c>
    </row>
    <row r="43" spans="2:53" ht="15">
      <c r="B43" s="114" t="s">
        <v>232</v>
      </c>
      <c r="C43" s="115">
        <f>C36*C34</f>
        <v>0</v>
      </c>
      <c r="D43" s="115">
        <f aca="true" t="shared" si="21" ref="D43:BA43">D36*D34</f>
        <v>0</v>
      </c>
      <c r="E43" s="115">
        <f t="shared" si="21"/>
        <v>0</v>
      </c>
      <c r="F43" s="115">
        <f t="shared" si="21"/>
        <v>0</v>
      </c>
      <c r="G43" s="115">
        <f t="shared" si="21"/>
        <v>0</v>
      </c>
      <c r="H43" s="115">
        <f t="shared" si="21"/>
        <v>0</v>
      </c>
      <c r="I43" s="115">
        <f t="shared" si="21"/>
        <v>0</v>
      </c>
      <c r="J43" s="115">
        <f t="shared" si="21"/>
        <v>0</v>
      </c>
      <c r="K43" s="115">
        <f t="shared" si="21"/>
        <v>0</v>
      </c>
      <c r="L43" s="115">
        <f t="shared" si="21"/>
        <v>0</v>
      </c>
      <c r="M43" s="115">
        <f t="shared" si="21"/>
        <v>0</v>
      </c>
      <c r="N43" s="115">
        <f t="shared" si="21"/>
        <v>0</v>
      </c>
      <c r="O43" s="115">
        <f t="shared" si="21"/>
        <v>0</v>
      </c>
      <c r="P43" s="115">
        <f t="shared" si="21"/>
        <v>0</v>
      </c>
      <c r="Q43" s="115">
        <f t="shared" si="21"/>
        <v>0</v>
      </c>
      <c r="R43" s="115">
        <f t="shared" si="21"/>
        <v>0</v>
      </c>
      <c r="S43" s="115">
        <f t="shared" si="21"/>
        <v>0</v>
      </c>
      <c r="T43" s="115">
        <f t="shared" si="21"/>
        <v>0</v>
      </c>
      <c r="U43" s="115">
        <f t="shared" si="21"/>
        <v>0</v>
      </c>
      <c r="V43" s="115">
        <f t="shared" si="21"/>
        <v>0</v>
      </c>
      <c r="W43" s="115">
        <f t="shared" si="21"/>
        <v>0</v>
      </c>
      <c r="X43" s="115">
        <f t="shared" si="21"/>
        <v>0</v>
      </c>
      <c r="Y43" s="115">
        <f t="shared" si="21"/>
        <v>0</v>
      </c>
      <c r="Z43" s="115">
        <f t="shared" si="21"/>
        <v>0</v>
      </c>
      <c r="AA43" s="115">
        <f t="shared" si="21"/>
        <v>0</v>
      </c>
      <c r="AB43" s="115">
        <f t="shared" si="21"/>
        <v>0</v>
      </c>
      <c r="AC43" s="115">
        <f t="shared" si="21"/>
        <v>0</v>
      </c>
      <c r="AD43" s="115">
        <f t="shared" si="21"/>
        <v>0</v>
      </c>
      <c r="AE43" s="115">
        <f t="shared" si="21"/>
        <v>0</v>
      </c>
      <c r="AF43" s="115">
        <f t="shared" si="21"/>
        <v>0</v>
      </c>
      <c r="AG43" s="115">
        <f t="shared" si="21"/>
        <v>0</v>
      </c>
      <c r="AH43" s="115">
        <f t="shared" si="21"/>
        <v>0</v>
      </c>
      <c r="AI43" s="115">
        <f t="shared" si="21"/>
        <v>0</v>
      </c>
      <c r="AJ43" s="115">
        <f t="shared" si="21"/>
        <v>0</v>
      </c>
      <c r="AK43" s="115">
        <f t="shared" si="21"/>
        <v>0</v>
      </c>
      <c r="AL43" s="115">
        <f t="shared" si="21"/>
        <v>0</v>
      </c>
      <c r="AM43" s="115">
        <f t="shared" si="21"/>
        <v>0</v>
      </c>
      <c r="AN43" s="115">
        <f t="shared" si="21"/>
        <v>0</v>
      </c>
      <c r="AO43" s="115">
        <f t="shared" si="21"/>
        <v>0</v>
      </c>
      <c r="AP43" s="115">
        <f t="shared" si="21"/>
        <v>0</v>
      </c>
      <c r="AQ43" s="115">
        <f t="shared" si="21"/>
        <v>0</v>
      </c>
      <c r="AR43" s="115">
        <f t="shared" si="21"/>
        <v>0</v>
      </c>
      <c r="AS43" s="115">
        <f t="shared" si="21"/>
        <v>0</v>
      </c>
      <c r="AT43" s="115">
        <f t="shared" si="21"/>
        <v>0</v>
      </c>
      <c r="AU43" s="115">
        <f t="shared" si="21"/>
        <v>0</v>
      </c>
      <c r="AV43" s="115">
        <f t="shared" si="21"/>
        <v>0</v>
      </c>
      <c r="AW43" s="115">
        <f t="shared" si="21"/>
        <v>0</v>
      </c>
      <c r="AX43" s="115">
        <f t="shared" si="21"/>
        <v>0</v>
      </c>
      <c r="AY43" s="115">
        <f t="shared" si="21"/>
        <v>0</v>
      </c>
      <c r="AZ43" s="115">
        <f t="shared" si="21"/>
        <v>0</v>
      </c>
      <c r="BA43" s="115">
        <f t="shared" si="21"/>
        <v>0</v>
      </c>
    </row>
    <row r="45" ht="15">
      <c r="B45" s="113" t="s">
        <v>250</v>
      </c>
    </row>
    <row r="47" spans="2:53" ht="15">
      <c r="B47" s="114" t="s">
        <v>224</v>
      </c>
      <c r="C47" s="115">
        <f aca="true" t="shared" si="22" ref="C47:AH47">C40*$C$97</f>
        <v>0</v>
      </c>
      <c r="D47" s="115">
        <f t="shared" si="22"/>
        <v>33.74136348151457</v>
      </c>
      <c r="E47" s="115">
        <f t="shared" si="22"/>
        <v>68.22814448623033</v>
      </c>
      <c r="F47" s="115">
        <f t="shared" si="22"/>
        <v>103.47539904637004</v>
      </c>
      <c r="G47" s="115">
        <f t="shared" si="22"/>
        <v>139.49848462376556</v>
      </c>
      <c r="H47" s="115">
        <f t="shared" si="22"/>
        <v>176.31306613909666</v>
      </c>
      <c r="I47" s="115">
        <f t="shared" si="22"/>
        <v>213.93512212171555</v>
      </c>
      <c r="J47" s="115">
        <f t="shared" si="22"/>
        <v>252.38095098246953</v>
      </c>
      <c r="K47" s="115">
        <f t="shared" si="22"/>
        <v>291.6671774119812</v>
      </c>
      <c r="L47" s="115">
        <f t="shared" si="22"/>
        <v>331.8107589068959</v>
      </c>
      <c r="M47" s="115">
        <f t="shared" si="22"/>
        <v>372.82899242665536</v>
      </c>
      <c r="N47" s="115">
        <f t="shared" si="22"/>
        <v>418.66230597124127</v>
      </c>
      <c r="O47" s="115">
        <f t="shared" si="22"/>
        <v>465.49257369103884</v>
      </c>
      <c r="P47" s="115">
        <f t="shared" si="22"/>
        <v>513.3399026397509</v>
      </c>
      <c r="Q47" s="115">
        <f t="shared" si="22"/>
        <v>562.2248023635645</v>
      </c>
      <c r="R47" s="115">
        <f t="shared" si="22"/>
        <v>612.1681929517358</v>
      </c>
      <c r="S47" s="115">
        <f t="shared" si="22"/>
        <v>663.1914132481883</v>
      </c>
      <c r="T47" s="115">
        <f t="shared" si="22"/>
        <v>715.3162292273441</v>
      </c>
      <c r="U47" s="115">
        <f t="shared" si="22"/>
        <v>768.5648425374741</v>
      </c>
      <c r="V47" s="115">
        <f t="shared" si="22"/>
        <v>822.959899214916</v>
      </c>
      <c r="W47" s="115">
        <f t="shared" si="22"/>
        <v>849.4046802261269</v>
      </c>
      <c r="X47" s="115">
        <f t="shared" si="22"/>
        <v>866.3927738306494</v>
      </c>
      <c r="Y47" s="115">
        <f t="shared" si="22"/>
        <v>883.7206293072625</v>
      </c>
      <c r="Z47" s="115">
        <f t="shared" si="22"/>
        <v>901.3950418934077</v>
      </c>
      <c r="AA47" s="115">
        <f t="shared" si="22"/>
        <v>919.422942731276</v>
      </c>
      <c r="AB47" s="115">
        <f t="shared" si="22"/>
        <v>937.8114015859014</v>
      </c>
      <c r="AC47" s="115">
        <f t="shared" si="22"/>
        <v>956.5676296176196</v>
      </c>
      <c r="AD47" s="115">
        <f t="shared" si="22"/>
        <v>975.6989822099719</v>
      </c>
      <c r="AE47" s="115">
        <f t="shared" si="22"/>
        <v>995.2129618541712</v>
      </c>
      <c r="AF47" s="115">
        <f t="shared" si="22"/>
        <v>1015.1172210912547</v>
      </c>
      <c r="AG47" s="115">
        <f t="shared" si="22"/>
        <v>1035.4195655130798</v>
      </c>
      <c r="AH47" s="115">
        <f t="shared" si="22"/>
        <v>1056.1279568233413</v>
      </c>
      <c r="AI47" s="115">
        <f aca="true" t="shared" si="23" ref="AI47:BA47">AI40*$C$97</f>
        <v>1077.2505159598081</v>
      </c>
      <c r="AJ47" s="115">
        <f t="shared" si="23"/>
        <v>1098.7955262790042</v>
      </c>
      <c r="AK47" s="115">
        <f t="shared" si="23"/>
        <v>1120.7714368045845</v>
      </c>
      <c r="AL47" s="115">
        <f t="shared" si="23"/>
        <v>1143.186865540676</v>
      </c>
      <c r="AM47" s="115">
        <f t="shared" si="23"/>
        <v>1166.0506028514897</v>
      </c>
      <c r="AN47" s="115">
        <f t="shared" si="23"/>
        <v>1189.3716149085194</v>
      </c>
      <c r="AO47" s="115">
        <f t="shared" si="23"/>
        <v>1213.1590472066898</v>
      </c>
      <c r="AP47" s="115">
        <f t="shared" si="23"/>
        <v>1237.4222281508237</v>
      </c>
      <c r="AQ47" s="115">
        <f t="shared" si="23"/>
        <v>1262.1706727138403</v>
      </c>
      <c r="AR47" s="115">
        <f t="shared" si="23"/>
        <v>1287.4140861681171</v>
      </c>
      <c r="AS47" s="115">
        <f t="shared" si="23"/>
        <v>1313.1623678914793</v>
      </c>
      <c r="AT47" s="115">
        <f t="shared" si="23"/>
        <v>1339.425615249309</v>
      </c>
      <c r="AU47" s="115">
        <f t="shared" si="23"/>
        <v>1366.2141275542954</v>
      </c>
      <c r="AV47" s="115">
        <f t="shared" si="23"/>
        <v>1393.5384101053812</v>
      </c>
      <c r="AW47" s="115">
        <f t="shared" si="23"/>
        <v>1421.409178307489</v>
      </c>
      <c r="AX47" s="115">
        <f t="shared" si="23"/>
        <v>1449.8373618736387</v>
      </c>
      <c r="AY47" s="115">
        <f t="shared" si="23"/>
        <v>1478.8341091111117</v>
      </c>
      <c r="AZ47" s="115">
        <f t="shared" si="23"/>
        <v>1508.410791293334</v>
      </c>
      <c r="BA47" s="115">
        <f t="shared" si="23"/>
        <v>1538.5790071192007</v>
      </c>
    </row>
    <row r="48" spans="2:53" ht="15">
      <c r="B48" s="114" t="s">
        <v>225</v>
      </c>
      <c r="C48" s="115">
        <f aca="true" t="shared" si="24" ref="C48:AH48">C41*$C$98</f>
        <v>0</v>
      </c>
      <c r="D48" s="115">
        <f t="shared" si="24"/>
        <v>0</v>
      </c>
      <c r="E48" s="115">
        <f t="shared" si="24"/>
        <v>0</v>
      </c>
      <c r="F48" s="115">
        <f t="shared" si="24"/>
        <v>0</v>
      </c>
      <c r="G48" s="115">
        <f t="shared" si="24"/>
        <v>0</v>
      </c>
      <c r="H48" s="115">
        <f t="shared" si="24"/>
        <v>0</v>
      </c>
      <c r="I48" s="115">
        <f t="shared" si="24"/>
        <v>0</v>
      </c>
      <c r="J48" s="115">
        <f t="shared" si="24"/>
        <v>0</v>
      </c>
      <c r="K48" s="115">
        <f t="shared" si="24"/>
        <v>0</v>
      </c>
      <c r="L48" s="115">
        <f t="shared" si="24"/>
        <v>0</v>
      </c>
      <c r="M48" s="115">
        <f t="shared" si="24"/>
        <v>0</v>
      </c>
      <c r="N48" s="115">
        <f t="shared" si="24"/>
        <v>0</v>
      </c>
      <c r="O48" s="115">
        <f t="shared" si="24"/>
        <v>0</v>
      </c>
      <c r="P48" s="115">
        <f t="shared" si="24"/>
        <v>0</v>
      </c>
      <c r="Q48" s="115">
        <f t="shared" si="24"/>
        <v>0</v>
      </c>
      <c r="R48" s="115">
        <f t="shared" si="24"/>
        <v>0</v>
      </c>
      <c r="S48" s="115">
        <f t="shared" si="24"/>
        <v>0</v>
      </c>
      <c r="T48" s="115">
        <f t="shared" si="24"/>
        <v>0</v>
      </c>
      <c r="U48" s="115">
        <f t="shared" si="24"/>
        <v>0</v>
      </c>
      <c r="V48" s="115">
        <f t="shared" si="24"/>
        <v>0</v>
      </c>
      <c r="W48" s="115">
        <f t="shared" si="24"/>
        <v>43.45367163704097</v>
      </c>
      <c r="X48" s="115">
        <f t="shared" si="24"/>
        <v>102.82307893358782</v>
      </c>
      <c r="Y48" s="115">
        <f t="shared" si="24"/>
        <v>163.53419891351456</v>
      </c>
      <c r="Z48" s="115">
        <f t="shared" si="24"/>
        <v>225.61427294035093</v>
      </c>
      <c r="AA48" s="115">
        <f t="shared" si="24"/>
        <v>289.0910882788576</v>
      </c>
      <c r="AB48" s="115">
        <f t="shared" si="24"/>
        <v>353.99298901588423</v>
      </c>
      <c r="AC48" s="115">
        <f t="shared" si="24"/>
        <v>420.34888719965124</v>
      </c>
      <c r="AD48" s="115">
        <f t="shared" si="24"/>
        <v>488.1882742018261</v>
      </c>
      <c r="AE48" s="115">
        <f t="shared" si="24"/>
        <v>557.5412323068473</v>
      </c>
      <c r="AF48" s="115">
        <f t="shared" si="24"/>
        <v>628.4384465330423</v>
      </c>
      <c r="AG48" s="115">
        <f t="shared" si="24"/>
        <v>700.9112166901776</v>
      </c>
      <c r="AH48" s="115">
        <f t="shared" si="24"/>
        <v>784.051463918011</v>
      </c>
      <c r="AI48" s="115">
        <f aca="true" t="shared" si="25" ref="AI48:BA48">AI41*$C$98</f>
        <v>869.036860762749</v>
      </c>
      <c r="AJ48" s="115">
        <f t="shared" si="25"/>
        <v>955.9047912440225</v>
      </c>
      <c r="AK48" s="115">
        <f t="shared" si="25"/>
        <v>1044.6933883308102</v>
      </c>
      <c r="AL48" s="115">
        <f t="shared" si="25"/>
        <v>1135.4415489237733</v>
      </c>
      <c r="AM48" s="115">
        <f t="shared" si="25"/>
        <v>1228.1889491372456</v>
      </c>
      <c r="AN48" s="115">
        <f t="shared" si="25"/>
        <v>1322.976059886872</v>
      </c>
      <c r="AO48" s="115">
        <f t="shared" si="25"/>
        <v>1419.8441627890084</v>
      </c>
      <c r="AP48" s="115">
        <f t="shared" si="25"/>
        <v>1518.8353663781204</v>
      </c>
      <c r="AQ48" s="115">
        <f t="shared" si="25"/>
        <v>1619.9926226485354</v>
      </c>
      <c r="AR48" s="115">
        <f t="shared" si="25"/>
        <v>1723.3597439270422</v>
      </c>
      <c r="AS48" s="115">
        <f t="shared" si="25"/>
        <v>1828.9814200829487</v>
      </c>
      <c r="AT48" s="115">
        <f t="shared" si="25"/>
        <v>1855.6297498133356</v>
      </c>
      <c r="AU48" s="115">
        <f t="shared" si="25"/>
        <v>1882.7848472609478</v>
      </c>
      <c r="AV48" s="115">
        <f t="shared" si="25"/>
        <v>1910.4567786671978</v>
      </c>
      <c r="AW48" s="115">
        <f t="shared" si="25"/>
        <v>1938.655811416005</v>
      </c>
      <c r="AX48" s="115">
        <f t="shared" si="25"/>
        <v>1967.392418056165</v>
      </c>
      <c r="AY48" s="115">
        <f t="shared" si="25"/>
        <v>1996.6772804041661</v>
      </c>
      <c r="AZ48" s="115">
        <f t="shared" si="25"/>
        <v>2026.5212937290592</v>
      </c>
      <c r="BA48" s="115">
        <f t="shared" si="25"/>
        <v>2056.9355710210234</v>
      </c>
    </row>
    <row r="49" spans="2:53" ht="15">
      <c r="B49" s="114" t="s">
        <v>226</v>
      </c>
      <c r="C49" s="115">
        <f aca="true" t="shared" si="26" ref="C49:AH49">C43*$C$99</f>
        <v>0</v>
      </c>
      <c r="D49" s="115">
        <f t="shared" si="26"/>
        <v>0</v>
      </c>
      <c r="E49" s="115">
        <f t="shared" si="26"/>
        <v>0</v>
      </c>
      <c r="F49" s="115">
        <f t="shared" si="26"/>
        <v>0</v>
      </c>
      <c r="G49" s="115">
        <f t="shared" si="26"/>
        <v>0</v>
      </c>
      <c r="H49" s="115">
        <f t="shared" si="26"/>
        <v>0</v>
      </c>
      <c r="I49" s="115">
        <f t="shared" si="26"/>
        <v>0</v>
      </c>
      <c r="J49" s="115">
        <f t="shared" si="26"/>
        <v>0</v>
      </c>
      <c r="K49" s="115">
        <f t="shared" si="26"/>
        <v>0</v>
      </c>
      <c r="L49" s="115">
        <f t="shared" si="26"/>
        <v>0</v>
      </c>
      <c r="M49" s="115">
        <f t="shared" si="26"/>
        <v>0</v>
      </c>
      <c r="N49" s="115">
        <f t="shared" si="26"/>
        <v>0</v>
      </c>
      <c r="O49" s="115">
        <f t="shared" si="26"/>
        <v>0</v>
      </c>
      <c r="P49" s="115">
        <f t="shared" si="26"/>
        <v>0</v>
      </c>
      <c r="Q49" s="115">
        <f t="shared" si="26"/>
        <v>0</v>
      </c>
      <c r="R49" s="115">
        <f t="shared" si="26"/>
        <v>0</v>
      </c>
      <c r="S49" s="115">
        <f t="shared" si="26"/>
        <v>0</v>
      </c>
      <c r="T49" s="115">
        <f t="shared" si="26"/>
        <v>0</v>
      </c>
      <c r="U49" s="115">
        <f t="shared" si="26"/>
        <v>0</v>
      </c>
      <c r="V49" s="115">
        <f t="shared" si="26"/>
        <v>0</v>
      </c>
      <c r="W49" s="115">
        <f t="shared" si="26"/>
        <v>0</v>
      </c>
      <c r="X49" s="115">
        <f t="shared" si="26"/>
        <v>0</v>
      </c>
      <c r="Y49" s="115">
        <f t="shared" si="26"/>
        <v>0</v>
      </c>
      <c r="Z49" s="115">
        <f t="shared" si="26"/>
        <v>0</v>
      </c>
      <c r="AA49" s="115">
        <f t="shared" si="26"/>
        <v>0</v>
      </c>
      <c r="AB49" s="115">
        <f t="shared" si="26"/>
        <v>0</v>
      </c>
      <c r="AC49" s="115">
        <f t="shared" si="26"/>
        <v>0</v>
      </c>
      <c r="AD49" s="115">
        <f t="shared" si="26"/>
        <v>0</v>
      </c>
      <c r="AE49" s="115">
        <f t="shared" si="26"/>
        <v>0</v>
      </c>
      <c r="AF49" s="115">
        <f t="shared" si="26"/>
        <v>0</v>
      </c>
      <c r="AG49" s="115">
        <f t="shared" si="26"/>
        <v>0</v>
      </c>
      <c r="AH49" s="115">
        <f t="shared" si="26"/>
        <v>0</v>
      </c>
      <c r="AI49" s="115">
        <f aca="true" t="shared" si="27" ref="AI49:BA49">AI43*$C$99</f>
        <v>0</v>
      </c>
      <c r="AJ49" s="115">
        <f t="shared" si="27"/>
        <v>0</v>
      </c>
      <c r="AK49" s="115">
        <f t="shared" si="27"/>
        <v>0</v>
      </c>
      <c r="AL49" s="115">
        <f t="shared" si="27"/>
        <v>0</v>
      </c>
      <c r="AM49" s="115">
        <f t="shared" si="27"/>
        <v>0</v>
      </c>
      <c r="AN49" s="115">
        <f t="shared" si="27"/>
        <v>0</v>
      </c>
      <c r="AO49" s="115">
        <f t="shared" si="27"/>
        <v>0</v>
      </c>
      <c r="AP49" s="115">
        <f t="shared" si="27"/>
        <v>0</v>
      </c>
      <c r="AQ49" s="115">
        <f t="shared" si="27"/>
        <v>0</v>
      </c>
      <c r="AR49" s="115">
        <f t="shared" si="27"/>
        <v>0</v>
      </c>
      <c r="AS49" s="115">
        <f t="shared" si="27"/>
        <v>0</v>
      </c>
      <c r="AT49" s="115">
        <f t="shared" si="27"/>
        <v>0</v>
      </c>
      <c r="AU49" s="115">
        <f t="shared" si="27"/>
        <v>0</v>
      </c>
      <c r="AV49" s="115">
        <f t="shared" si="27"/>
        <v>0</v>
      </c>
      <c r="AW49" s="115">
        <f t="shared" si="27"/>
        <v>0</v>
      </c>
      <c r="AX49" s="115">
        <f t="shared" si="27"/>
        <v>0</v>
      </c>
      <c r="AY49" s="115">
        <f t="shared" si="27"/>
        <v>0</v>
      </c>
      <c r="AZ49" s="115">
        <f t="shared" si="27"/>
        <v>0</v>
      </c>
      <c r="BA49" s="115">
        <f t="shared" si="27"/>
        <v>0</v>
      </c>
    </row>
    <row r="52" ht="15">
      <c r="B52" s="113" t="s">
        <v>13</v>
      </c>
    </row>
    <row r="54" ht="15">
      <c r="B54" s="113" t="s">
        <v>255</v>
      </c>
    </row>
    <row r="56" spans="2:53" ht="15">
      <c r="B56" s="114" t="s">
        <v>257</v>
      </c>
      <c r="C56" s="115">
        <f>C12-C13</f>
        <v>12096</v>
      </c>
      <c r="D56" s="115">
        <f aca="true" t="shared" si="28" ref="D56:BA56">D12-D13</f>
        <v>12337.920000000002</v>
      </c>
      <c r="E56" s="115">
        <f t="shared" si="28"/>
        <v>12584.678400000004</v>
      </c>
      <c r="F56" s="115">
        <f t="shared" si="28"/>
        <v>12836.371968</v>
      </c>
      <c r="G56" s="115">
        <f t="shared" si="28"/>
        <v>13093.099407360005</v>
      </c>
      <c r="H56" s="115">
        <f t="shared" si="28"/>
        <v>13354.961395507202</v>
      </c>
      <c r="I56" s="115">
        <f t="shared" si="28"/>
        <v>13622.060623417347</v>
      </c>
      <c r="J56" s="115">
        <f t="shared" si="28"/>
        <v>13894.501835885698</v>
      </c>
      <c r="K56" s="115">
        <f t="shared" si="28"/>
        <v>14172.39187260341</v>
      </c>
      <c r="L56" s="115">
        <f t="shared" si="28"/>
        <v>14455.83971005548</v>
      </c>
      <c r="M56" s="115">
        <f t="shared" si="28"/>
        <v>16190.540475262133</v>
      </c>
      <c r="N56" s="115">
        <f t="shared" si="28"/>
        <v>16514.35128476738</v>
      </c>
      <c r="O56" s="115">
        <f t="shared" si="28"/>
        <v>16844.638310462728</v>
      </c>
      <c r="P56" s="115">
        <f t="shared" si="28"/>
        <v>17181.53107667198</v>
      </c>
      <c r="Q56" s="115">
        <f t="shared" si="28"/>
        <v>17525.161698205422</v>
      </c>
      <c r="R56" s="115">
        <f t="shared" si="28"/>
        <v>17875.664932169526</v>
      </c>
      <c r="S56" s="115">
        <f t="shared" si="28"/>
        <v>18233.17823081292</v>
      </c>
      <c r="T56" s="115">
        <f t="shared" si="28"/>
        <v>18597.841795429176</v>
      </c>
      <c r="U56" s="115">
        <f t="shared" si="28"/>
        <v>18969.79863133776</v>
      </c>
      <c r="V56" s="115">
        <f t="shared" si="28"/>
        <v>19349.19460396452</v>
      </c>
      <c r="W56" s="115">
        <f t="shared" si="28"/>
        <v>19736.17849604381</v>
      </c>
      <c r="X56" s="115">
        <f t="shared" si="28"/>
        <v>20130.902065964685</v>
      </c>
      <c r="Y56" s="115">
        <f t="shared" si="28"/>
        <v>20533.520107283977</v>
      </c>
      <c r="Z56" s="115">
        <f t="shared" si="28"/>
        <v>20944.190509429653</v>
      </c>
      <c r="AA56" s="115">
        <f t="shared" si="28"/>
        <v>21363.074319618245</v>
      </c>
      <c r="AB56" s="115">
        <f t="shared" si="28"/>
        <v>21790.33580601061</v>
      </c>
      <c r="AC56" s="115">
        <f t="shared" si="28"/>
        <v>22226.142522130824</v>
      </c>
      <c r="AD56" s="115">
        <f t="shared" si="28"/>
        <v>22670.665372573443</v>
      </c>
      <c r="AE56" s="115">
        <f t="shared" si="28"/>
        <v>23124.07868002491</v>
      </c>
      <c r="AF56" s="115">
        <f t="shared" si="28"/>
        <v>23586.56025362541</v>
      </c>
      <c r="AG56" s="115">
        <f t="shared" si="28"/>
        <v>26416.947484060467</v>
      </c>
      <c r="AH56" s="115">
        <f t="shared" si="28"/>
        <v>26945.28643374167</v>
      </c>
      <c r="AI56" s="115">
        <f t="shared" si="28"/>
        <v>27484.19216241651</v>
      </c>
      <c r="AJ56" s="115">
        <f t="shared" si="28"/>
        <v>28033.87600566484</v>
      </c>
      <c r="AK56" s="115">
        <f t="shared" si="28"/>
        <v>28594.553525778138</v>
      </c>
      <c r="AL56" s="115">
        <f t="shared" si="28"/>
        <v>29166.444596293702</v>
      </c>
      <c r="AM56" s="115">
        <f t="shared" si="28"/>
        <v>29749.773488219573</v>
      </c>
      <c r="AN56" s="115">
        <f t="shared" si="28"/>
        <v>30344.768957983964</v>
      </c>
      <c r="AO56" s="115">
        <f t="shared" si="28"/>
        <v>30951.664337143637</v>
      </c>
      <c r="AP56" s="115">
        <f t="shared" si="28"/>
        <v>31570.697623886517</v>
      </c>
      <c r="AQ56" s="115">
        <f t="shared" si="28"/>
        <v>32202.111576364245</v>
      </c>
      <c r="AR56" s="115">
        <f t="shared" si="28"/>
        <v>32846.153807891526</v>
      </c>
      <c r="AS56" s="115">
        <f t="shared" si="28"/>
        <v>0</v>
      </c>
      <c r="AT56" s="115">
        <f t="shared" si="28"/>
        <v>0</v>
      </c>
      <c r="AU56" s="115">
        <f t="shared" si="28"/>
        <v>0</v>
      </c>
      <c r="AV56" s="115">
        <f t="shared" si="28"/>
        <v>0</v>
      </c>
      <c r="AW56" s="115">
        <f t="shared" si="28"/>
        <v>0</v>
      </c>
      <c r="AX56" s="115">
        <f t="shared" si="28"/>
        <v>0</v>
      </c>
      <c r="AY56" s="115">
        <f t="shared" si="28"/>
        <v>0</v>
      </c>
      <c r="AZ56" s="115">
        <f t="shared" si="28"/>
        <v>0</v>
      </c>
      <c r="BA56" s="115">
        <f t="shared" si="28"/>
        <v>0</v>
      </c>
    </row>
    <row r="57" spans="2:53" ht="15">
      <c r="B57" s="114" t="s">
        <v>258</v>
      </c>
      <c r="C57" s="115">
        <f>C13-C14+C16-C17</f>
        <v>4032</v>
      </c>
      <c r="D57" s="115">
        <f aca="true" t="shared" si="29" ref="D57:BA57">D13-D14+D16-D17</f>
        <v>4112.639999999999</v>
      </c>
      <c r="E57" s="115">
        <f t="shared" si="29"/>
        <v>4194.892799999998</v>
      </c>
      <c r="F57" s="115">
        <f t="shared" si="29"/>
        <v>4278.790656000001</v>
      </c>
      <c r="G57" s="115">
        <f t="shared" si="29"/>
        <v>4364.366469119999</v>
      </c>
      <c r="H57" s="115">
        <f t="shared" si="29"/>
        <v>4451.653798502401</v>
      </c>
      <c r="I57" s="115">
        <f t="shared" si="29"/>
        <v>4540.686874472449</v>
      </c>
      <c r="J57" s="115">
        <f t="shared" si="29"/>
        <v>4631.500611961896</v>
      </c>
      <c r="K57" s="115">
        <f t="shared" si="29"/>
        <v>4724.130624201134</v>
      </c>
      <c r="L57" s="115">
        <f t="shared" si="29"/>
        <v>4818.613236685156</v>
      </c>
      <c r="M57" s="115">
        <f t="shared" si="29"/>
        <v>5396.8468250873775</v>
      </c>
      <c r="N57" s="115">
        <f t="shared" si="29"/>
        <v>5504.783761589122</v>
      </c>
      <c r="O57" s="115">
        <f t="shared" si="29"/>
        <v>5614.8794368209055</v>
      </c>
      <c r="P57" s="115">
        <f t="shared" si="29"/>
        <v>5727.177025557325</v>
      </c>
      <c r="Q57" s="115">
        <f t="shared" si="29"/>
        <v>5841.72056606847</v>
      </c>
      <c r="R57" s="115">
        <f t="shared" si="29"/>
        <v>5958.554977389842</v>
      </c>
      <c r="S57" s="115">
        <f t="shared" si="29"/>
        <v>6077.726076937637</v>
      </c>
      <c r="T57" s="115">
        <f t="shared" si="29"/>
        <v>6199.280598476391</v>
      </c>
      <c r="U57" s="115">
        <f t="shared" si="29"/>
        <v>6323.26621044592</v>
      </c>
      <c r="V57" s="115">
        <f t="shared" si="29"/>
        <v>6449.731534654835</v>
      </c>
      <c r="W57" s="115">
        <f t="shared" si="29"/>
        <v>6578.726165347933</v>
      </c>
      <c r="X57" s="115">
        <f t="shared" si="29"/>
        <v>6710.30068865489</v>
      </c>
      <c r="Y57" s="115">
        <f t="shared" si="29"/>
        <v>6844.506702427989</v>
      </c>
      <c r="Z57" s="115">
        <f t="shared" si="29"/>
        <v>6981.39683647655</v>
      </c>
      <c r="AA57" s="115">
        <f t="shared" si="29"/>
        <v>7121.024773206082</v>
      </c>
      <c r="AB57" s="115">
        <f t="shared" si="29"/>
        <v>7263.4452686702025</v>
      </c>
      <c r="AC57" s="115">
        <f t="shared" si="29"/>
        <v>7408.714174043605</v>
      </c>
      <c r="AD57" s="115">
        <f t="shared" si="29"/>
        <v>7556.888457524477</v>
      </c>
      <c r="AE57" s="115">
        <f t="shared" si="29"/>
        <v>7708.026226674967</v>
      </c>
      <c r="AF57" s="115">
        <f t="shared" si="29"/>
        <v>7862.186751208468</v>
      </c>
      <c r="AG57" s="115">
        <f t="shared" si="29"/>
        <v>8805.649161353482</v>
      </c>
      <c r="AH57" s="115">
        <f t="shared" si="29"/>
        <v>8981.762144580556</v>
      </c>
      <c r="AI57" s="115">
        <f t="shared" si="29"/>
        <v>9161.397387472163</v>
      </c>
      <c r="AJ57" s="115">
        <f t="shared" si="29"/>
        <v>9344.625335221608</v>
      </c>
      <c r="AK57" s="115">
        <f t="shared" si="29"/>
        <v>9531.517841926041</v>
      </c>
      <c r="AL57" s="115">
        <f t="shared" si="29"/>
        <v>9722.14819876456</v>
      </c>
      <c r="AM57" s="115">
        <f t="shared" si="29"/>
        <v>9916.591162739853</v>
      </c>
      <c r="AN57" s="115">
        <f t="shared" si="29"/>
        <v>10114.92298599465</v>
      </c>
      <c r="AO57" s="115">
        <f t="shared" si="29"/>
        <v>10317.221445714546</v>
      </c>
      <c r="AP57" s="115">
        <f t="shared" si="29"/>
        <v>10523.565874628832</v>
      </c>
      <c r="AQ57" s="115">
        <f t="shared" si="29"/>
        <v>10734.03719212141</v>
      </c>
      <c r="AR57" s="115">
        <f t="shared" si="29"/>
        <v>10948.71793596384</v>
      </c>
      <c r="AS57" s="115">
        <f t="shared" si="29"/>
        <v>1585.2874649466394</v>
      </c>
      <c r="AT57" s="115">
        <f t="shared" si="29"/>
        <v>1616.9932142455727</v>
      </c>
      <c r="AU57" s="115">
        <f t="shared" si="29"/>
        <v>1649.333078530486</v>
      </c>
      <c r="AV57" s="115">
        <f t="shared" si="29"/>
        <v>1682.3197401010948</v>
      </c>
      <c r="AW57" s="115">
        <f t="shared" si="29"/>
        <v>1715.9661349031157</v>
      </c>
      <c r="AX57" s="115">
        <f t="shared" si="29"/>
        <v>1750.2854576011778</v>
      </c>
      <c r="AY57" s="115">
        <f t="shared" si="29"/>
        <v>1785.2911667532026</v>
      </c>
      <c r="AZ57" s="115">
        <f t="shared" si="29"/>
        <v>1820.996990088268</v>
      </c>
      <c r="BA57" s="115">
        <f t="shared" si="29"/>
        <v>1857.4169298900306</v>
      </c>
    </row>
    <row r="58" spans="2:53" ht="15">
      <c r="B58" s="114" t="s">
        <v>256</v>
      </c>
      <c r="C58" s="115">
        <f>C20</f>
        <v>16128</v>
      </c>
      <c r="D58" s="115">
        <f aca="true" t="shared" si="30" ref="D58:BA58">D20</f>
        <v>16450.56</v>
      </c>
      <c r="E58" s="115">
        <f t="shared" si="30"/>
        <v>16779.571200000002</v>
      </c>
      <c r="F58" s="115">
        <f t="shared" si="30"/>
        <v>17115.162624</v>
      </c>
      <c r="G58" s="115">
        <f t="shared" si="30"/>
        <v>17457.465876480004</v>
      </c>
      <c r="H58" s="115">
        <f t="shared" si="30"/>
        <v>17806.615194009602</v>
      </c>
      <c r="I58" s="115">
        <f t="shared" si="30"/>
        <v>18162.747497889795</v>
      </c>
      <c r="J58" s="115">
        <f t="shared" si="30"/>
        <v>18526.002447847593</v>
      </c>
      <c r="K58" s="115">
        <f t="shared" si="30"/>
        <v>18896.522496804544</v>
      </c>
      <c r="L58" s="115">
        <f t="shared" si="30"/>
        <v>19274.452946740636</v>
      </c>
      <c r="M58" s="115">
        <f t="shared" si="30"/>
        <v>21587.38730034951</v>
      </c>
      <c r="N58" s="115">
        <f t="shared" si="30"/>
        <v>22019.135046356503</v>
      </c>
      <c r="O58" s="115">
        <f t="shared" si="30"/>
        <v>22459.517747283633</v>
      </c>
      <c r="P58" s="115">
        <f t="shared" si="30"/>
        <v>22908.708102229306</v>
      </c>
      <c r="Q58" s="115">
        <f t="shared" si="30"/>
        <v>23366.882264273892</v>
      </c>
      <c r="R58" s="115">
        <f t="shared" si="30"/>
        <v>23834.219909559368</v>
      </c>
      <c r="S58" s="115">
        <f t="shared" si="30"/>
        <v>24310.904307750556</v>
      </c>
      <c r="T58" s="115">
        <f t="shared" si="30"/>
        <v>24797.122393905567</v>
      </c>
      <c r="U58" s="115">
        <f t="shared" si="30"/>
        <v>25293.06484178368</v>
      </c>
      <c r="V58" s="115">
        <f t="shared" si="30"/>
        <v>25798.926138619354</v>
      </c>
      <c r="W58" s="115">
        <f t="shared" si="30"/>
        <v>26314.90466139174</v>
      </c>
      <c r="X58" s="115">
        <f t="shared" si="30"/>
        <v>26841.202754619575</v>
      </c>
      <c r="Y58" s="115">
        <f t="shared" si="30"/>
        <v>27378.026809711966</v>
      </c>
      <c r="Z58" s="115">
        <f t="shared" si="30"/>
        <v>27925.587345906202</v>
      </c>
      <c r="AA58" s="115">
        <f t="shared" si="30"/>
        <v>28484.099092824326</v>
      </c>
      <c r="AB58" s="115">
        <f t="shared" si="30"/>
        <v>29053.781074680814</v>
      </c>
      <c r="AC58" s="115">
        <f t="shared" si="30"/>
        <v>29634.85669617443</v>
      </c>
      <c r="AD58" s="115">
        <f t="shared" si="30"/>
        <v>30227.55383009792</v>
      </c>
      <c r="AE58" s="115">
        <f t="shared" si="30"/>
        <v>30832.10490669988</v>
      </c>
      <c r="AF58" s="115">
        <f t="shared" si="30"/>
        <v>31448.747004833876</v>
      </c>
      <c r="AG58" s="115">
        <f t="shared" si="30"/>
        <v>35222.59664541395</v>
      </c>
      <c r="AH58" s="115">
        <f t="shared" si="30"/>
        <v>35927.048578322225</v>
      </c>
      <c r="AI58" s="115">
        <f t="shared" si="30"/>
        <v>36645.589549888675</v>
      </c>
      <c r="AJ58" s="115">
        <f t="shared" si="30"/>
        <v>37378.50134088645</v>
      </c>
      <c r="AK58" s="115">
        <f t="shared" si="30"/>
        <v>38126.07136770418</v>
      </c>
      <c r="AL58" s="115">
        <f t="shared" si="30"/>
        <v>38888.59279505826</v>
      </c>
      <c r="AM58" s="115">
        <f t="shared" si="30"/>
        <v>39666.364650959425</v>
      </c>
      <c r="AN58" s="115">
        <f t="shared" si="30"/>
        <v>40459.691943978614</v>
      </c>
      <c r="AO58" s="115">
        <f t="shared" si="30"/>
        <v>41268.88578285818</v>
      </c>
      <c r="AP58" s="115">
        <f t="shared" si="30"/>
        <v>42094.26349851535</v>
      </c>
      <c r="AQ58" s="115">
        <f t="shared" si="30"/>
        <v>42936.148768485655</v>
      </c>
      <c r="AR58" s="115">
        <f t="shared" si="30"/>
        <v>43794.871743855365</v>
      </c>
      <c r="AS58" s="115">
        <f t="shared" si="30"/>
        <v>1585.2874649466394</v>
      </c>
      <c r="AT58" s="115">
        <f t="shared" si="30"/>
        <v>1616.9932142455727</v>
      </c>
      <c r="AU58" s="115">
        <f t="shared" si="30"/>
        <v>1649.333078530486</v>
      </c>
      <c r="AV58" s="115">
        <f t="shared" si="30"/>
        <v>1682.3197401010948</v>
      </c>
      <c r="AW58" s="115">
        <f t="shared" si="30"/>
        <v>1715.9661349031157</v>
      </c>
      <c r="AX58" s="115">
        <f t="shared" si="30"/>
        <v>1750.2854576011778</v>
      </c>
      <c r="AY58" s="115">
        <f t="shared" si="30"/>
        <v>1785.2911667532026</v>
      </c>
      <c r="AZ58" s="115">
        <f t="shared" si="30"/>
        <v>1820.996990088268</v>
      </c>
      <c r="BA58" s="115">
        <f t="shared" si="30"/>
        <v>1857.4169298900306</v>
      </c>
    </row>
    <row r="60" ht="15">
      <c r="B60" s="113" t="s">
        <v>251</v>
      </c>
    </row>
    <row r="62" spans="2:53" ht="15">
      <c r="B62" s="114" t="s">
        <v>120</v>
      </c>
      <c r="C62" s="115">
        <f>'1.2. Impôts'!C68</f>
        <v>0</v>
      </c>
      <c r="D62" s="115">
        <f>'1.2. Impôts'!D68</f>
        <v>0</v>
      </c>
      <c r="E62" s="115">
        <f>'1.2. Impôts'!E68</f>
        <v>0</v>
      </c>
      <c r="F62" s="115">
        <f>'1.2. Impôts'!F68</f>
        <v>0</v>
      </c>
      <c r="G62" s="115">
        <f>'1.2. Impôts'!G68</f>
        <v>0</v>
      </c>
      <c r="H62" s="115">
        <f>'1.2. Impôts'!H68</f>
        <v>0</v>
      </c>
      <c r="I62" s="115">
        <f>'1.2. Impôts'!I68</f>
        <v>0</v>
      </c>
      <c r="J62" s="115">
        <f>'1.2. Impôts'!J68</f>
        <v>0</v>
      </c>
      <c r="K62" s="115">
        <f>'1.2. Impôts'!K68</f>
        <v>0</v>
      </c>
      <c r="L62" s="115">
        <f>'1.2. Impôts'!L68</f>
        <v>0</v>
      </c>
      <c r="M62" s="115">
        <f>'1.2. Impôts'!M68</f>
        <v>52.39738521905201</v>
      </c>
      <c r="N62" s="115">
        <f>'1.2. Impôts'!N68</f>
        <v>53.445332923433625</v>
      </c>
      <c r="O62" s="115">
        <f>'1.2. Impôts'!O68</f>
        <v>54.5142395819023</v>
      </c>
      <c r="P62" s="115">
        <f>'1.2. Impôts'!P68</f>
        <v>55.60452437354047</v>
      </c>
      <c r="Q62" s="115">
        <f>'1.2. Impôts'!Q68</f>
        <v>56.71661486101107</v>
      </c>
      <c r="R62" s="115">
        <f>'1.2. Impôts'!R68</f>
        <v>57.85094715823152</v>
      </c>
      <c r="S62" s="115">
        <f>'1.2. Impôts'!S68</f>
        <v>59.007966101395596</v>
      </c>
      <c r="T62" s="115">
        <f>'1.2. Impôts'!T68</f>
        <v>60.18812542342357</v>
      </c>
      <c r="U62" s="115">
        <f>'1.2. Impôts'!U68</f>
        <v>61.39188793189169</v>
      </c>
      <c r="V62" s="115">
        <f>'1.2. Impôts'!V68</f>
        <v>62.619725690530004</v>
      </c>
      <c r="W62" s="115">
        <f>'1.2. Impôts'!W68</f>
        <v>63.872120204340035</v>
      </c>
      <c r="X62" s="115">
        <f>'1.2. Impôts'!X68</f>
        <v>65.149562608427</v>
      </c>
      <c r="Y62" s="115">
        <f>'1.2. Impôts'!Y68</f>
        <v>66.45255386059534</v>
      </c>
      <c r="Z62" s="115">
        <f>'1.2. Impôts'!Z68</f>
        <v>67.7816049378066</v>
      </c>
      <c r="AA62" s="115">
        <f>'1.2. Impôts'!AA68</f>
        <v>69.13723703656251</v>
      </c>
      <c r="AB62" s="115">
        <f>'1.2. Impôts'!AB68</f>
        <v>70.51998177729388</v>
      </c>
      <c r="AC62" s="115">
        <f>'1.2. Impôts'!AC68</f>
        <v>71.93038141284</v>
      </c>
      <c r="AD62" s="115">
        <f>'1.2. Impôts'!AD68</f>
        <v>73.36898904109648</v>
      </c>
      <c r="AE62" s="115">
        <f>'1.2. Impôts'!AE68</f>
        <v>74.83636882191854</v>
      </c>
      <c r="AF62" s="115">
        <f>'1.2. Impôts'!AF68</f>
        <v>76.333096198357</v>
      </c>
      <c r="AG62" s="115">
        <f>'1.2. Impôts'!AG68</f>
        <v>320.66374046652027</v>
      </c>
      <c r="AH62" s="115">
        <f>'1.2. Impôts'!AH68</f>
        <v>327.0770152758496</v>
      </c>
      <c r="AI62" s="115">
        <f>'1.2. Impôts'!AI68</f>
        <v>333.6185555813677</v>
      </c>
      <c r="AJ62" s="115">
        <f>'1.2. Impôts'!AJ68</f>
        <v>340.2909266929946</v>
      </c>
      <c r="AK62" s="115">
        <f>'1.2. Impôts'!AK68</f>
        <v>347.09674522685464</v>
      </c>
      <c r="AL62" s="115">
        <f>'1.2. Impôts'!AL68</f>
        <v>354.0386801313921</v>
      </c>
      <c r="AM62" s="115">
        <f>'1.2. Impôts'!AM68</f>
        <v>361.1194537340193</v>
      </c>
      <c r="AN62" s="115">
        <f>'1.2. Impôts'!AN68</f>
        <v>368.3418428086993</v>
      </c>
      <c r="AO62" s="115">
        <f>'1.2. Impôts'!AO68</f>
        <v>375.70867966487276</v>
      </c>
      <c r="AP62" s="115">
        <f>'1.2. Impôts'!AP68</f>
        <v>383.2228532581703</v>
      </c>
      <c r="AQ62" s="115">
        <f>'1.2. Impôts'!AQ68</f>
        <v>390.8873103233336</v>
      </c>
      <c r="AR62" s="115">
        <f>'1.2. Impôts'!AR68</f>
        <v>398.7050565298</v>
      </c>
      <c r="AS62" s="115">
        <f>'1.2. Impôts'!AS68</f>
        <v>0</v>
      </c>
      <c r="AT62" s="115">
        <f>'1.2. Impôts'!AT68</f>
        <v>0</v>
      </c>
      <c r="AU62" s="115">
        <f>'1.2. Impôts'!AU68</f>
        <v>0</v>
      </c>
      <c r="AV62" s="115">
        <f>'1.2. Impôts'!AV68</f>
        <v>0</v>
      </c>
      <c r="AW62" s="115">
        <f>'1.2. Impôts'!AW68</f>
        <v>0</v>
      </c>
      <c r="AX62" s="115">
        <f>'1.2. Impôts'!AX68</f>
        <v>0</v>
      </c>
      <c r="AY62" s="115">
        <f>'1.2. Impôts'!AY68</f>
        <v>0</v>
      </c>
      <c r="AZ62" s="115">
        <f>'1.2. Impôts'!AZ68</f>
        <v>0</v>
      </c>
      <c r="BA62" s="115">
        <f>'1.2. Impôts'!BA68</f>
        <v>0</v>
      </c>
    </row>
    <row r="63" spans="3:53" ht="15">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row>
    <row r="64" spans="2:53" ht="15">
      <c r="B64" s="113" t="s">
        <v>252</v>
      </c>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row>
    <row r="65" spans="3:53" ht="15">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row>
    <row r="66" spans="2:53" ht="15">
      <c r="B66" s="114" t="s">
        <v>191</v>
      </c>
      <c r="C66" s="115">
        <f aca="true" t="shared" si="31" ref="C66:AH66">C48*$C$101</f>
        <v>0</v>
      </c>
      <c r="D66" s="115">
        <f t="shared" si="31"/>
        <v>0</v>
      </c>
      <c r="E66" s="115">
        <f t="shared" si="31"/>
        <v>0</v>
      </c>
      <c r="F66" s="115">
        <f t="shared" si="31"/>
        <v>0</v>
      </c>
      <c r="G66" s="115">
        <f t="shared" si="31"/>
        <v>0</v>
      </c>
      <c r="H66" s="115">
        <f t="shared" si="31"/>
        <v>0</v>
      </c>
      <c r="I66" s="115">
        <f t="shared" si="31"/>
        <v>0</v>
      </c>
      <c r="J66" s="115">
        <f t="shared" si="31"/>
        <v>0</v>
      </c>
      <c r="K66" s="115">
        <f t="shared" si="31"/>
        <v>0</v>
      </c>
      <c r="L66" s="115">
        <f t="shared" si="31"/>
        <v>0</v>
      </c>
      <c r="M66" s="115">
        <f t="shared" si="31"/>
        <v>0</v>
      </c>
      <c r="N66" s="115">
        <f t="shared" si="31"/>
        <v>0</v>
      </c>
      <c r="O66" s="115">
        <f t="shared" si="31"/>
        <v>0</v>
      </c>
      <c r="P66" s="115">
        <f t="shared" si="31"/>
        <v>0</v>
      </c>
      <c r="Q66" s="115">
        <f t="shared" si="31"/>
        <v>0</v>
      </c>
      <c r="R66" s="115">
        <f t="shared" si="31"/>
        <v>0</v>
      </c>
      <c r="S66" s="115">
        <f t="shared" si="31"/>
        <v>0</v>
      </c>
      <c r="T66" s="115">
        <f t="shared" si="31"/>
        <v>0</v>
      </c>
      <c r="U66" s="115">
        <f t="shared" si="31"/>
        <v>0</v>
      </c>
      <c r="V66" s="115">
        <f t="shared" si="31"/>
        <v>0</v>
      </c>
      <c r="W66" s="115">
        <f t="shared" si="31"/>
        <v>3.5632010742373597</v>
      </c>
      <c r="X66" s="115">
        <f t="shared" si="31"/>
        <v>8.431492472554202</v>
      </c>
      <c r="Y66" s="115">
        <f t="shared" si="31"/>
        <v>13.409804310908195</v>
      </c>
      <c r="Z66" s="115">
        <f t="shared" si="31"/>
        <v>18.500370381108777</v>
      </c>
      <c r="AA66" s="115">
        <f t="shared" si="31"/>
        <v>23.705469238866325</v>
      </c>
      <c r="AB66" s="115">
        <f t="shared" si="31"/>
        <v>29.02742509930251</v>
      </c>
      <c r="AC66" s="115">
        <f t="shared" si="31"/>
        <v>34.4686087503714</v>
      </c>
      <c r="AD66" s="115">
        <f t="shared" si="31"/>
        <v>40.031438484549746</v>
      </c>
      <c r="AE66" s="115">
        <f t="shared" si="31"/>
        <v>45.71838104916148</v>
      </c>
      <c r="AF66" s="115">
        <f t="shared" si="31"/>
        <v>51.53195261570947</v>
      </c>
      <c r="AG66" s="115">
        <f t="shared" si="31"/>
        <v>57.47471976859457</v>
      </c>
      <c r="AH66" s="115">
        <f t="shared" si="31"/>
        <v>64.2922200412769</v>
      </c>
      <c r="AI66" s="115">
        <f aca="true" t="shared" si="32" ref="AI66:BA66">AI48*$C$101</f>
        <v>71.26102258254542</v>
      </c>
      <c r="AJ66" s="115">
        <f t="shared" si="32"/>
        <v>78.38419288200984</v>
      </c>
      <c r="AK66" s="115">
        <f t="shared" si="32"/>
        <v>85.66485784312644</v>
      </c>
      <c r="AL66" s="115">
        <f t="shared" si="32"/>
        <v>93.10620701174942</v>
      </c>
      <c r="AM66" s="115">
        <f t="shared" si="32"/>
        <v>100.71149382925414</v>
      </c>
      <c r="AN66" s="115">
        <f t="shared" si="32"/>
        <v>108.4840369107235</v>
      </c>
      <c r="AO66" s="115">
        <f t="shared" si="32"/>
        <v>116.4272213486987</v>
      </c>
      <c r="AP66" s="115">
        <f t="shared" si="32"/>
        <v>124.54450004300588</v>
      </c>
      <c r="AQ66" s="115">
        <f t="shared" si="32"/>
        <v>132.8393950571799</v>
      </c>
      <c r="AR66" s="115">
        <f t="shared" si="32"/>
        <v>141.31549900201748</v>
      </c>
      <c r="AS66" s="115">
        <f t="shared" si="32"/>
        <v>149.9764764468018</v>
      </c>
      <c r="AT66" s="115">
        <f t="shared" si="32"/>
        <v>152.16163948469352</v>
      </c>
      <c r="AU66" s="115">
        <f t="shared" si="32"/>
        <v>154.38835747539773</v>
      </c>
      <c r="AV66" s="115">
        <f t="shared" si="32"/>
        <v>156.65745585071022</v>
      </c>
      <c r="AW66" s="115">
        <f t="shared" si="32"/>
        <v>158.96977653611242</v>
      </c>
      <c r="AX66" s="115">
        <f t="shared" si="32"/>
        <v>161.32617828060555</v>
      </c>
      <c r="AY66" s="115">
        <f t="shared" si="32"/>
        <v>163.72753699314163</v>
      </c>
      <c r="AZ66" s="115">
        <f t="shared" si="32"/>
        <v>166.17474608578286</v>
      </c>
      <c r="BA66" s="115">
        <f t="shared" si="32"/>
        <v>168.66871682372394</v>
      </c>
    </row>
    <row r="67" spans="2:53" ht="15">
      <c r="B67" s="114" t="s">
        <v>192</v>
      </c>
      <c r="C67" s="115">
        <f aca="true" t="shared" si="33" ref="C67:AH67">C48*$C$102</f>
        <v>0</v>
      </c>
      <c r="D67" s="115">
        <f t="shared" si="33"/>
        <v>0</v>
      </c>
      <c r="E67" s="115">
        <f t="shared" si="33"/>
        <v>0</v>
      </c>
      <c r="F67" s="115">
        <f t="shared" si="33"/>
        <v>0</v>
      </c>
      <c r="G67" s="115">
        <f t="shared" si="33"/>
        <v>0</v>
      </c>
      <c r="H67" s="115">
        <f t="shared" si="33"/>
        <v>0</v>
      </c>
      <c r="I67" s="115">
        <f t="shared" si="33"/>
        <v>0</v>
      </c>
      <c r="J67" s="115">
        <f t="shared" si="33"/>
        <v>0</v>
      </c>
      <c r="K67" s="115">
        <f t="shared" si="33"/>
        <v>0</v>
      </c>
      <c r="L67" s="115">
        <f t="shared" si="33"/>
        <v>0</v>
      </c>
      <c r="M67" s="115">
        <f t="shared" si="33"/>
        <v>0</v>
      </c>
      <c r="N67" s="115">
        <f t="shared" si="33"/>
        <v>0</v>
      </c>
      <c r="O67" s="115">
        <f t="shared" si="33"/>
        <v>0</v>
      </c>
      <c r="P67" s="115">
        <f t="shared" si="33"/>
        <v>0</v>
      </c>
      <c r="Q67" s="115">
        <f t="shared" si="33"/>
        <v>0</v>
      </c>
      <c r="R67" s="115">
        <f t="shared" si="33"/>
        <v>0</v>
      </c>
      <c r="S67" s="115">
        <f t="shared" si="33"/>
        <v>0</v>
      </c>
      <c r="T67" s="115">
        <f t="shared" si="33"/>
        <v>0</v>
      </c>
      <c r="U67" s="115">
        <f t="shared" si="33"/>
        <v>0</v>
      </c>
      <c r="V67" s="115">
        <f t="shared" si="33"/>
        <v>0</v>
      </c>
      <c r="W67" s="115">
        <f t="shared" si="33"/>
        <v>0.21726835818520485</v>
      </c>
      <c r="X67" s="115">
        <f t="shared" si="33"/>
        <v>0.5141153946679391</v>
      </c>
      <c r="Y67" s="115">
        <f t="shared" si="33"/>
        <v>0.8176709945675729</v>
      </c>
      <c r="Z67" s="115">
        <f t="shared" si="33"/>
        <v>1.1280713647017546</v>
      </c>
      <c r="AA67" s="115">
        <f t="shared" si="33"/>
        <v>1.4454554413942882</v>
      </c>
      <c r="AB67" s="115">
        <f t="shared" si="33"/>
        <v>1.7699649450794213</v>
      </c>
      <c r="AC67" s="115">
        <f t="shared" si="33"/>
        <v>2.101744435998256</v>
      </c>
      <c r="AD67" s="115">
        <f t="shared" si="33"/>
        <v>2.4409413710091306</v>
      </c>
      <c r="AE67" s="115">
        <f t="shared" si="33"/>
        <v>2.7877061615342367</v>
      </c>
      <c r="AF67" s="115">
        <f t="shared" si="33"/>
        <v>3.1421922326652116</v>
      </c>
      <c r="AG67" s="115">
        <f t="shared" si="33"/>
        <v>3.5045560834508884</v>
      </c>
      <c r="AH67" s="115">
        <f t="shared" si="33"/>
        <v>3.920257319590055</v>
      </c>
      <c r="AI67" s="115">
        <f aca="true" t="shared" si="34" ref="AI67:BA67">AI48*$C$102</f>
        <v>4.345184303813745</v>
      </c>
      <c r="AJ67" s="115">
        <f t="shared" si="34"/>
        <v>4.779523956220112</v>
      </c>
      <c r="AK67" s="115">
        <f t="shared" si="34"/>
        <v>5.223466941654051</v>
      </c>
      <c r="AL67" s="115">
        <f t="shared" si="34"/>
        <v>5.677207744618867</v>
      </c>
      <c r="AM67" s="115">
        <f t="shared" si="34"/>
        <v>6.140944745686228</v>
      </c>
      <c r="AN67" s="115">
        <f t="shared" si="34"/>
        <v>6.61488029943436</v>
      </c>
      <c r="AO67" s="115">
        <f t="shared" si="34"/>
        <v>7.099220813945042</v>
      </c>
      <c r="AP67" s="115">
        <f t="shared" si="34"/>
        <v>7.594176831890602</v>
      </c>
      <c r="AQ67" s="115">
        <f t="shared" si="34"/>
        <v>8.099963113242676</v>
      </c>
      <c r="AR67" s="115">
        <f t="shared" si="34"/>
        <v>8.616798719635211</v>
      </c>
      <c r="AS67" s="115">
        <f t="shared" si="34"/>
        <v>9.144907100414743</v>
      </c>
      <c r="AT67" s="115">
        <f t="shared" si="34"/>
        <v>9.278148749066679</v>
      </c>
      <c r="AU67" s="115">
        <f t="shared" si="34"/>
        <v>9.413924236304739</v>
      </c>
      <c r="AV67" s="115">
        <f t="shared" si="34"/>
        <v>9.55228389333599</v>
      </c>
      <c r="AW67" s="115">
        <f t="shared" si="34"/>
        <v>9.693279057080025</v>
      </c>
      <c r="AX67" s="115">
        <f t="shared" si="34"/>
        <v>9.836962090280826</v>
      </c>
      <c r="AY67" s="115">
        <f t="shared" si="34"/>
        <v>9.98338640202083</v>
      </c>
      <c r="AZ67" s="115">
        <f t="shared" si="34"/>
        <v>10.132606468645296</v>
      </c>
      <c r="BA67" s="115">
        <f t="shared" si="34"/>
        <v>10.284677855105118</v>
      </c>
    </row>
    <row r="68" spans="2:53" ht="15">
      <c r="B68" s="114" t="s">
        <v>231</v>
      </c>
      <c r="C68" s="115">
        <f aca="true" t="shared" si="35" ref="C68:AH68">C48*$C$103</f>
        <v>0</v>
      </c>
      <c r="D68" s="115">
        <f t="shared" si="35"/>
        <v>0</v>
      </c>
      <c r="E68" s="115">
        <f t="shared" si="35"/>
        <v>0</v>
      </c>
      <c r="F68" s="115">
        <f t="shared" si="35"/>
        <v>0</v>
      </c>
      <c r="G68" s="115">
        <f t="shared" si="35"/>
        <v>0</v>
      </c>
      <c r="H68" s="115">
        <f t="shared" si="35"/>
        <v>0</v>
      </c>
      <c r="I68" s="115">
        <f t="shared" si="35"/>
        <v>0</v>
      </c>
      <c r="J68" s="115">
        <f t="shared" si="35"/>
        <v>0</v>
      </c>
      <c r="K68" s="115">
        <f t="shared" si="35"/>
        <v>0</v>
      </c>
      <c r="L68" s="115">
        <f t="shared" si="35"/>
        <v>0</v>
      </c>
      <c r="M68" s="115">
        <f t="shared" si="35"/>
        <v>0</v>
      </c>
      <c r="N68" s="115">
        <f t="shared" si="35"/>
        <v>0</v>
      </c>
      <c r="O68" s="115">
        <f t="shared" si="35"/>
        <v>0</v>
      </c>
      <c r="P68" s="115">
        <f t="shared" si="35"/>
        <v>0</v>
      </c>
      <c r="Q68" s="115">
        <f t="shared" si="35"/>
        <v>0</v>
      </c>
      <c r="R68" s="115">
        <f t="shared" si="35"/>
        <v>0</v>
      </c>
      <c r="S68" s="115">
        <f t="shared" si="35"/>
        <v>0</v>
      </c>
      <c r="T68" s="115">
        <f t="shared" si="35"/>
        <v>0</v>
      </c>
      <c r="U68" s="115">
        <f t="shared" si="35"/>
        <v>0</v>
      </c>
      <c r="V68" s="115">
        <f t="shared" si="35"/>
        <v>0</v>
      </c>
      <c r="W68" s="115">
        <f t="shared" si="35"/>
        <v>2.954849671318786</v>
      </c>
      <c r="X68" s="115">
        <f t="shared" si="35"/>
        <v>6.991969367483972</v>
      </c>
      <c r="Y68" s="115">
        <f t="shared" si="35"/>
        <v>11.120325526118991</v>
      </c>
      <c r="Z68" s="115">
        <f t="shared" si="35"/>
        <v>15.341770559943864</v>
      </c>
      <c r="AA68" s="115">
        <f t="shared" si="35"/>
        <v>19.65819400296232</v>
      </c>
      <c r="AB68" s="115">
        <f t="shared" si="35"/>
        <v>24.07152325308013</v>
      </c>
      <c r="AC68" s="115">
        <f t="shared" si="35"/>
        <v>28.583724329576288</v>
      </c>
      <c r="AD68" s="115">
        <f t="shared" si="35"/>
        <v>33.196802645724176</v>
      </c>
      <c r="AE68" s="115">
        <f t="shared" si="35"/>
        <v>37.91280379686562</v>
      </c>
      <c r="AF68" s="115">
        <f t="shared" si="35"/>
        <v>42.73381436424688</v>
      </c>
      <c r="AG68" s="115">
        <f t="shared" si="35"/>
        <v>47.66196273493208</v>
      </c>
      <c r="AH68" s="115">
        <f t="shared" si="35"/>
        <v>53.31549954642475</v>
      </c>
      <c r="AI68" s="115">
        <f aca="true" t="shared" si="36" ref="AI68:BA68">AI48*$C$103</f>
        <v>59.09450653186694</v>
      </c>
      <c r="AJ68" s="115">
        <f t="shared" si="36"/>
        <v>65.00152580459353</v>
      </c>
      <c r="AK68" s="115">
        <f t="shared" si="36"/>
        <v>71.0391504064951</v>
      </c>
      <c r="AL68" s="115">
        <f t="shared" si="36"/>
        <v>77.21002532681659</v>
      </c>
      <c r="AM68" s="115">
        <f t="shared" si="36"/>
        <v>83.5168485413327</v>
      </c>
      <c r="AN68" s="115">
        <f t="shared" si="36"/>
        <v>89.9623720723073</v>
      </c>
      <c r="AO68" s="115">
        <f t="shared" si="36"/>
        <v>96.54940306965257</v>
      </c>
      <c r="AP68" s="115">
        <f t="shared" si="36"/>
        <v>103.28080491371219</v>
      </c>
      <c r="AQ68" s="115">
        <f t="shared" si="36"/>
        <v>110.15949834010041</v>
      </c>
      <c r="AR68" s="115">
        <f t="shared" si="36"/>
        <v>117.18846258703888</v>
      </c>
      <c r="AS68" s="115">
        <f t="shared" si="36"/>
        <v>124.37073656564053</v>
      </c>
      <c r="AT68" s="115">
        <f t="shared" si="36"/>
        <v>126.18282298730684</v>
      </c>
      <c r="AU68" s="115">
        <f t="shared" si="36"/>
        <v>128.02936961374445</v>
      </c>
      <c r="AV68" s="115">
        <f t="shared" si="36"/>
        <v>129.91106094936947</v>
      </c>
      <c r="AW68" s="115">
        <f t="shared" si="36"/>
        <v>131.82859517628836</v>
      </c>
      <c r="AX68" s="115">
        <f t="shared" si="36"/>
        <v>133.78268442781925</v>
      </c>
      <c r="AY68" s="115">
        <f t="shared" si="36"/>
        <v>135.77405506748332</v>
      </c>
      <c r="AZ68" s="115">
        <f t="shared" si="36"/>
        <v>137.80344797357603</v>
      </c>
      <c r="BA68" s="115">
        <f t="shared" si="36"/>
        <v>139.8716188294296</v>
      </c>
    </row>
    <row r="69" spans="3:53" ht="15">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row>
    <row r="70" spans="2:53" ht="15">
      <c r="B70" s="113" t="s">
        <v>253</v>
      </c>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row>
    <row r="71" spans="3:53" ht="15">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row>
    <row r="72" spans="2:53" ht="15">
      <c r="B72" s="114" t="s">
        <v>199</v>
      </c>
      <c r="C72" s="120">
        <f>'1.2. Impôts'!C79</f>
        <v>0.14720000000000003</v>
      </c>
      <c r="D72" s="120">
        <f>C72</f>
        <v>0.14720000000000003</v>
      </c>
      <c r="E72" s="120">
        <f aca="true" t="shared" si="37" ref="E72:BA72">D72</f>
        <v>0.14720000000000003</v>
      </c>
      <c r="F72" s="120">
        <f t="shared" si="37"/>
        <v>0.14720000000000003</v>
      </c>
      <c r="G72" s="120">
        <f t="shared" si="37"/>
        <v>0.14720000000000003</v>
      </c>
      <c r="H72" s="120">
        <f t="shared" si="37"/>
        <v>0.14720000000000003</v>
      </c>
      <c r="I72" s="120">
        <f t="shared" si="37"/>
        <v>0.14720000000000003</v>
      </c>
      <c r="J72" s="120">
        <f t="shared" si="37"/>
        <v>0.14720000000000003</v>
      </c>
      <c r="K72" s="120">
        <f t="shared" si="37"/>
        <v>0.14720000000000003</v>
      </c>
      <c r="L72" s="120">
        <f t="shared" si="37"/>
        <v>0.14720000000000003</v>
      </c>
      <c r="M72" s="120">
        <f t="shared" si="37"/>
        <v>0.14720000000000003</v>
      </c>
      <c r="N72" s="120">
        <f t="shared" si="37"/>
        <v>0.14720000000000003</v>
      </c>
      <c r="O72" s="120">
        <f t="shared" si="37"/>
        <v>0.14720000000000003</v>
      </c>
      <c r="P72" s="120">
        <f t="shared" si="37"/>
        <v>0.14720000000000003</v>
      </c>
      <c r="Q72" s="120">
        <f t="shared" si="37"/>
        <v>0.14720000000000003</v>
      </c>
      <c r="R72" s="120">
        <f t="shared" si="37"/>
        <v>0.14720000000000003</v>
      </c>
      <c r="S72" s="120">
        <f t="shared" si="37"/>
        <v>0.14720000000000003</v>
      </c>
      <c r="T72" s="120">
        <f t="shared" si="37"/>
        <v>0.14720000000000003</v>
      </c>
      <c r="U72" s="120">
        <f t="shared" si="37"/>
        <v>0.14720000000000003</v>
      </c>
      <c r="V72" s="120">
        <f t="shared" si="37"/>
        <v>0.14720000000000003</v>
      </c>
      <c r="W72" s="120">
        <f t="shared" si="37"/>
        <v>0.14720000000000003</v>
      </c>
      <c r="X72" s="120">
        <f t="shared" si="37"/>
        <v>0.14720000000000003</v>
      </c>
      <c r="Y72" s="120">
        <f t="shared" si="37"/>
        <v>0.14720000000000003</v>
      </c>
      <c r="Z72" s="120">
        <f t="shared" si="37"/>
        <v>0.14720000000000003</v>
      </c>
      <c r="AA72" s="120">
        <f t="shared" si="37"/>
        <v>0.14720000000000003</v>
      </c>
      <c r="AB72" s="120">
        <f t="shared" si="37"/>
        <v>0.14720000000000003</v>
      </c>
      <c r="AC72" s="120">
        <f t="shared" si="37"/>
        <v>0.14720000000000003</v>
      </c>
      <c r="AD72" s="120">
        <f t="shared" si="37"/>
        <v>0.14720000000000003</v>
      </c>
      <c r="AE72" s="120">
        <f t="shared" si="37"/>
        <v>0.14720000000000003</v>
      </c>
      <c r="AF72" s="120">
        <f t="shared" si="37"/>
        <v>0.14720000000000003</v>
      </c>
      <c r="AG72" s="120">
        <f t="shared" si="37"/>
        <v>0.14720000000000003</v>
      </c>
      <c r="AH72" s="120">
        <f t="shared" si="37"/>
        <v>0.14720000000000003</v>
      </c>
      <c r="AI72" s="120">
        <f t="shared" si="37"/>
        <v>0.14720000000000003</v>
      </c>
      <c r="AJ72" s="120">
        <f t="shared" si="37"/>
        <v>0.14720000000000003</v>
      </c>
      <c r="AK72" s="120">
        <f t="shared" si="37"/>
        <v>0.14720000000000003</v>
      </c>
      <c r="AL72" s="120">
        <f t="shared" si="37"/>
        <v>0.14720000000000003</v>
      </c>
      <c r="AM72" s="120">
        <f t="shared" si="37"/>
        <v>0.14720000000000003</v>
      </c>
      <c r="AN72" s="120">
        <f t="shared" si="37"/>
        <v>0.14720000000000003</v>
      </c>
      <c r="AO72" s="120">
        <f t="shared" si="37"/>
        <v>0.14720000000000003</v>
      </c>
      <c r="AP72" s="120">
        <f t="shared" si="37"/>
        <v>0.14720000000000003</v>
      </c>
      <c r="AQ72" s="120">
        <f t="shared" si="37"/>
        <v>0.14720000000000003</v>
      </c>
      <c r="AR72" s="120">
        <f t="shared" si="37"/>
        <v>0.14720000000000003</v>
      </c>
      <c r="AS72" s="120">
        <f t="shared" si="37"/>
        <v>0.14720000000000003</v>
      </c>
      <c r="AT72" s="120">
        <f t="shared" si="37"/>
        <v>0.14720000000000003</v>
      </c>
      <c r="AU72" s="120">
        <f t="shared" si="37"/>
        <v>0.14720000000000003</v>
      </c>
      <c r="AV72" s="120">
        <f t="shared" si="37"/>
        <v>0.14720000000000003</v>
      </c>
      <c r="AW72" s="120">
        <f t="shared" si="37"/>
        <v>0.14720000000000003</v>
      </c>
      <c r="AX72" s="120">
        <f t="shared" si="37"/>
        <v>0.14720000000000003</v>
      </c>
      <c r="AY72" s="120">
        <f t="shared" si="37"/>
        <v>0.14720000000000003</v>
      </c>
      <c r="AZ72" s="120">
        <f t="shared" si="37"/>
        <v>0.14720000000000003</v>
      </c>
      <c r="BA72" s="120">
        <f t="shared" si="37"/>
        <v>0.14720000000000003</v>
      </c>
    </row>
    <row r="73" spans="2:53" ht="15">
      <c r="B73" s="114" t="s">
        <v>200</v>
      </c>
      <c r="C73" s="115">
        <f aca="true" t="shared" si="38" ref="C73:AH73">C72*C27</f>
        <v>2003.4647721040424</v>
      </c>
      <c r="D73" s="115">
        <f t="shared" si="38"/>
        <v>2047.7255130507099</v>
      </c>
      <c r="E73" s="115">
        <f t="shared" si="38"/>
        <v>2092.880237732871</v>
      </c>
      <c r="F73" s="115">
        <f t="shared" si="38"/>
        <v>2138.9468441706717</v>
      </c>
      <c r="G73" s="115">
        <f t="shared" si="38"/>
        <v>2185.943588383043</v>
      </c>
      <c r="H73" s="115">
        <f t="shared" si="38"/>
        <v>2233.8890915477527</v>
      </c>
      <c r="I73" s="115">
        <f t="shared" si="38"/>
        <v>2282.8023473046674</v>
      </c>
      <c r="J73" s="115">
        <f t="shared" si="38"/>
        <v>2332.702729205072</v>
      </c>
      <c r="K73" s="115">
        <f t="shared" si="38"/>
        <v>2383.60999830998</v>
      </c>
      <c r="L73" s="115">
        <f t="shared" si="38"/>
        <v>2435.5443109404073</v>
      </c>
      <c r="M73" s="115">
        <f t="shared" si="38"/>
        <v>2721.4498645167128</v>
      </c>
      <c r="N73" s="115">
        <f t="shared" si="38"/>
        <v>2780.6461258217087</v>
      </c>
      <c r="O73" s="115">
        <f t="shared" si="38"/>
        <v>2841.0362859383654</v>
      </c>
      <c r="P73" s="115">
        <f t="shared" si="38"/>
        <v>2902.6442437086394</v>
      </c>
      <c r="Q73" s="115">
        <f t="shared" si="38"/>
        <v>2965.494375994979</v>
      </c>
      <c r="R73" s="115">
        <f t="shared" si="38"/>
        <v>3029.611547240824</v>
      </c>
      <c r="S73" s="115">
        <f t="shared" si="38"/>
        <v>3095.0211192223233</v>
      </c>
      <c r="T73" s="115">
        <f t="shared" si="38"/>
        <v>3161.748960995073</v>
      </c>
      <c r="U73" s="115">
        <f t="shared" si="38"/>
        <v>3229.821459039802</v>
      </c>
      <c r="V73" s="115">
        <f t="shared" si="38"/>
        <v>3299.2655276109645</v>
      </c>
      <c r="W73" s="115">
        <f t="shared" si="38"/>
        <v>3371.0525302275128</v>
      </c>
      <c r="X73" s="115">
        <f t="shared" si="38"/>
        <v>3444.6142577637547</v>
      </c>
      <c r="Y73" s="115">
        <f t="shared" si="38"/>
        <v>3519.663419025402</v>
      </c>
      <c r="Z73" s="115">
        <f t="shared" si="38"/>
        <v>3596.229805420567</v>
      </c>
      <c r="AA73" s="115">
        <f t="shared" si="38"/>
        <v>3674.3438042982566</v>
      </c>
      <c r="AB73" s="115">
        <f t="shared" si="38"/>
        <v>3754.0364108674867</v>
      </c>
      <c r="AC73" s="115">
        <f t="shared" si="38"/>
        <v>3835.339240354781</v>
      </c>
      <c r="AD73" s="115">
        <f t="shared" si="38"/>
        <v>3918.284540404819</v>
      </c>
      <c r="AE73" s="115">
        <f t="shared" si="38"/>
        <v>4002.905203729102</v>
      </c>
      <c r="AF73" s="115">
        <f t="shared" si="38"/>
        <v>4089.234781007585</v>
      </c>
      <c r="AG73" s="115">
        <f t="shared" si="38"/>
        <v>4537.8107461531745</v>
      </c>
      <c r="AH73" s="115">
        <f t="shared" si="38"/>
        <v>4635.822577983407</v>
      </c>
      <c r="AI73" s="115">
        <f aca="true" t="shared" si="39" ref="AI73:BA73">AI72*AI27</f>
        <v>4735.813786849096</v>
      </c>
      <c r="AJ73" s="115">
        <f t="shared" si="39"/>
        <v>4837.824010783537</v>
      </c>
      <c r="AK73" s="115">
        <f t="shared" si="39"/>
        <v>4941.8936807138925</v>
      </c>
      <c r="AL73" s="115">
        <f t="shared" si="39"/>
        <v>5048.06403631942</v>
      </c>
      <c r="AM73" s="115">
        <f t="shared" si="39"/>
        <v>5156.377142206863</v>
      </c>
      <c r="AN73" s="115">
        <f t="shared" si="39"/>
        <v>5266.87590440936</v>
      </c>
      <c r="AO73" s="115">
        <f t="shared" si="39"/>
        <v>5379.604087215324</v>
      </c>
      <c r="AP73" s="115">
        <f t="shared" si="39"/>
        <v>5494.606330333901</v>
      </c>
      <c r="AQ73" s="115">
        <f t="shared" si="39"/>
        <v>5611.928166403735</v>
      </c>
      <c r="AR73" s="115">
        <f t="shared" si="39"/>
        <v>5731.616038851937</v>
      </c>
      <c r="AS73" s="115">
        <f t="shared" si="39"/>
        <v>2619.790748610018</v>
      </c>
      <c r="AT73" s="115">
        <f t="shared" si="39"/>
        <v>2671.1440926658224</v>
      </c>
      <c r="AU73" s="115">
        <f t="shared" si="39"/>
        <v>2723.521753552764</v>
      </c>
      <c r="AV73" s="115">
        <f t="shared" si="39"/>
        <v>2776.9442103528017</v>
      </c>
      <c r="AW73" s="115">
        <f t="shared" si="39"/>
        <v>2831.4323517103962</v>
      </c>
      <c r="AX73" s="115">
        <f t="shared" si="39"/>
        <v>2887.0074840237107</v>
      </c>
      <c r="AY73" s="115">
        <f t="shared" si="39"/>
        <v>2943.6913397996295</v>
      </c>
      <c r="AZ73" s="115">
        <f t="shared" si="39"/>
        <v>3001.5060861758907</v>
      </c>
      <c r="BA73" s="115">
        <f t="shared" si="39"/>
        <v>3060.4743336136403</v>
      </c>
    </row>
    <row r="74" spans="3:53" ht="15">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row>
    <row r="75" spans="2:53" ht="15">
      <c r="B75" s="113" t="s">
        <v>254</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row>
    <row r="77" spans="2:53" ht="15">
      <c r="B77" s="114" t="s">
        <v>12</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5">
        <f>'1.2. Impôts'!BA133</f>
        <v>0</v>
      </c>
    </row>
    <row r="79" spans="2:53" ht="15">
      <c r="B79" s="114" t="s">
        <v>11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row>
    <row r="82" ht="15">
      <c r="B82" s="113" t="s">
        <v>233</v>
      </c>
    </row>
    <row r="84" spans="2:55" ht="15">
      <c r="B84" s="114" t="s">
        <v>90</v>
      </c>
      <c r="C84" s="117">
        <v>0.02</v>
      </c>
      <c r="D84" s="117">
        <v>0.02</v>
      </c>
      <c r="E84" s="117">
        <v>0.02</v>
      </c>
      <c r="F84" s="117">
        <v>0.02</v>
      </c>
      <c r="G84" s="117">
        <v>0.02</v>
      </c>
      <c r="H84" s="117">
        <v>0.02</v>
      </c>
      <c r="I84" s="117">
        <v>0.02</v>
      </c>
      <c r="J84" s="117">
        <v>0.02</v>
      </c>
      <c r="K84" s="117">
        <v>0.02</v>
      </c>
      <c r="L84" s="117">
        <v>0.02</v>
      </c>
      <c r="M84" s="117">
        <v>0.02</v>
      </c>
      <c r="N84" s="117">
        <v>0.02</v>
      </c>
      <c r="O84" s="117">
        <v>0.02</v>
      </c>
      <c r="P84" s="117">
        <v>0.02</v>
      </c>
      <c r="Q84" s="117">
        <v>0.02</v>
      </c>
      <c r="R84" s="117">
        <v>0.02</v>
      </c>
      <c r="S84" s="117">
        <v>0.02</v>
      </c>
      <c r="T84" s="117">
        <v>0.02</v>
      </c>
      <c r="U84" s="117">
        <v>0.02</v>
      </c>
      <c r="V84" s="117">
        <v>0.02</v>
      </c>
      <c r="W84" s="117">
        <v>0.02</v>
      </c>
      <c r="X84" s="117">
        <v>0.02</v>
      </c>
      <c r="Y84" s="117">
        <v>0.02</v>
      </c>
      <c r="Z84" s="117">
        <v>0.02</v>
      </c>
      <c r="AA84" s="117">
        <v>0.02</v>
      </c>
      <c r="AB84" s="117">
        <v>0.02</v>
      </c>
      <c r="AC84" s="117">
        <v>0.02</v>
      </c>
      <c r="AD84" s="117">
        <v>0.02</v>
      </c>
      <c r="AE84" s="117">
        <v>0.02</v>
      </c>
      <c r="AF84" s="117">
        <v>0.02</v>
      </c>
      <c r="AG84" s="117">
        <v>0.02</v>
      </c>
      <c r="AH84" s="117">
        <v>0.02</v>
      </c>
      <c r="AI84" s="117">
        <v>0.02</v>
      </c>
      <c r="AJ84" s="117">
        <v>0.02</v>
      </c>
      <c r="AK84" s="117">
        <v>0.02</v>
      </c>
      <c r="AL84" s="117">
        <v>0.02</v>
      </c>
      <c r="AM84" s="117">
        <v>0.02</v>
      </c>
      <c r="AN84" s="117">
        <v>0.02</v>
      </c>
      <c r="AO84" s="117">
        <v>0.02</v>
      </c>
      <c r="AP84" s="117">
        <v>0.02</v>
      </c>
      <c r="AQ84" s="117">
        <v>0.02</v>
      </c>
      <c r="AR84" s="117">
        <v>0.02</v>
      </c>
      <c r="AS84" s="117">
        <v>0.02</v>
      </c>
      <c r="AT84" s="117">
        <v>0.02</v>
      </c>
      <c r="AU84" s="117">
        <v>0.02</v>
      </c>
      <c r="AV84" s="117">
        <v>0.02</v>
      </c>
      <c r="AW84" s="117">
        <v>0.02</v>
      </c>
      <c r="AX84" s="117">
        <v>0.02</v>
      </c>
      <c r="AY84" s="117">
        <v>0.02</v>
      </c>
      <c r="AZ84" s="117">
        <v>0.02</v>
      </c>
      <c r="BA84" s="117">
        <v>0.02</v>
      </c>
      <c r="BB84" s="80"/>
      <c r="BC84" s="80"/>
    </row>
    <row r="85" spans="2:53" ht="15">
      <c r="B85" s="114" t="s">
        <v>93</v>
      </c>
      <c r="C85" s="114"/>
      <c r="D85" s="114"/>
      <c r="E85" s="114"/>
      <c r="F85" s="114"/>
      <c r="G85" s="114"/>
      <c r="H85" s="114"/>
      <c r="I85" s="114"/>
      <c r="J85" s="114"/>
      <c r="K85" s="114"/>
      <c r="L85" s="114"/>
      <c r="M85" s="117">
        <v>0.1</v>
      </c>
      <c r="N85" s="114"/>
      <c r="O85" s="114"/>
      <c r="P85" s="114"/>
      <c r="Q85" s="114"/>
      <c r="R85" s="114"/>
      <c r="S85" s="114"/>
      <c r="T85" s="114"/>
      <c r="U85" s="114"/>
      <c r="V85" s="114"/>
      <c r="W85" s="114"/>
      <c r="X85" s="114"/>
      <c r="Y85" s="114"/>
      <c r="Z85" s="114"/>
      <c r="AA85" s="114"/>
      <c r="AB85" s="114"/>
      <c r="AC85" s="114"/>
      <c r="AD85" s="114"/>
      <c r="AE85" s="114"/>
      <c r="AF85" s="114"/>
      <c r="AG85" s="117">
        <v>0.1</v>
      </c>
      <c r="AH85" s="114"/>
      <c r="AI85" s="114"/>
      <c r="AJ85" s="114"/>
      <c r="AK85" s="114"/>
      <c r="AL85" s="114"/>
      <c r="AM85" s="114"/>
      <c r="AN85" s="114"/>
      <c r="AO85" s="114"/>
      <c r="AP85" s="114"/>
      <c r="AQ85" s="114"/>
      <c r="AR85" s="114"/>
      <c r="AS85" s="114"/>
      <c r="AT85" s="114"/>
      <c r="AU85" s="114"/>
      <c r="AV85" s="114"/>
      <c r="AW85" s="114"/>
      <c r="AX85" s="114"/>
      <c r="AY85" s="114"/>
      <c r="AZ85" s="114"/>
      <c r="BA85" s="114"/>
    </row>
    <row r="88" ht="15">
      <c r="B88" s="113" t="s">
        <v>234</v>
      </c>
    </row>
    <row r="90" spans="2:3" ht="15">
      <c r="B90" s="114" t="s">
        <v>95</v>
      </c>
      <c r="C90" s="117">
        <v>0.8</v>
      </c>
    </row>
    <row r="91" spans="2:3" ht="15">
      <c r="B91" s="114" t="s">
        <v>96</v>
      </c>
      <c r="C91" s="117">
        <v>1.6</v>
      </c>
    </row>
    <row r="93" spans="2:3" ht="15">
      <c r="B93" s="114" t="s">
        <v>122</v>
      </c>
      <c r="C93" s="120">
        <f>AVERAGE('Taux d''épargne moyen INSEE'!B56:B66)/100</f>
        <v>0.15609533880786167</v>
      </c>
    </row>
    <row r="94" spans="2:3" ht="15">
      <c r="B94" s="114" t="s">
        <v>123</v>
      </c>
      <c r="C94" s="121">
        <f>1-C93</f>
        <v>0.8439046611921384</v>
      </c>
    </row>
    <row r="96" spans="2:3" ht="15">
      <c r="B96" s="114" t="s">
        <v>221</v>
      </c>
      <c r="C96" s="115">
        <f>'1.2. Impôts'!C85</f>
        <v>42650</v>
      </c>
    </row>
    <row r="97" spans="2:3" ht="15">
      <c r="B97" s="114" t="s">
        <v>220</v>
      </c>
      <c r="C97" s="122">
        <f>'1.2. Impôts'!D85</f>
        <v>0.013402696365767878</v>
      </c>
    </row>
    <row r="98" spans="2:3" ht="15">
      <c r="B98" s="114" t="s">
        <v>222</v>
      </c>
      <c r="C98" s="122">
        <v>0.02</v>
      </c>
    </row>
    <row r="99" spans="2:3" ht="15">
      <c r="B99" s="114" t="s">
        <v>204</v>
      </c>
      <c r="C99" s="121">
        <v>0.025</v>
      </c>
    </row>
    <row r="101" spans="2:3" ht="15">
      <c r="B101" s="114" t="s">
        <v>228</v>
      </c>
      <c r="C101" s="122">
        <f>'1.2. Impôts'!C92</f>
        <v>0.082</v>
      </c>
    </row>
    <row r="102" spans="2:3" ht="15">
      <c r="B102" s="114" t="s">
        <v>230</v>
      </c>
      <c r="C102" s="122">
        <f>'1.2. Impôts'!C91</f>
        <v>0.005</v>
      </c>
    </row>
    <row r="103" spans="2:3" ht="15">
      <c r="B103" s="114" t="s">
        <v>229</v>
      </c>
      <c r="C103" s="122">
        <f>'1.2. Impôts'!C93</f>
        <v>0.068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D5:M13"/>
  <sheetViews>
    <sheetView zoomScalePageLayoutView="0" workbookViewId="0" topLeftCell="A1">
      <selection activeCell="G21" sqref="G21"/>
    </sheetView>
  </sheetViews>
  <sheetFormatPr defaultColWidth="11.421875" defaultRowHeight="15"/>
  <cols>
    <col min="1" max="16384" width="11.421875" style="125" customWidth="1"/>
  </cols>
  <sheetData>
    <row r="5" spans="4:13" ht="15">
      <c r="D5" s="187" t="s">
        <v>315</v>
      </c>
      <c r="E5" s="187"/>
      <c r="F5" s="187"/>
      <c r="G5" s="187"/>
      <c r="H5" s="187"/>
      <c r="I5" s="187"/>
      <c r="J5" s="187"/>
      <c r="K5" s="187"/>
      <c r="L5" s="187"/>
      <c r="M5" s="187"/>
    </row>
    <row r="6" spans="4:7" ht="15">
      <c r="D6" s="129"/>
      <c r="E6" s="129"/>
      <c r="F6" s="129"/>
      <c r="G6" s="138"/>
    </row>
    <row r="7" spans="4:13" ht="15" customHeight="1">
      <c r="D7" s="194" t="s">
        <v>314</v>
      </c>
      <c r="E7" s="195"/>
      <c r="F7" s="195"/>
      <c r="G7" s="195"/>
      <c r="H7" s="195"/>
      <c r="I7" s="195"/>
      <c r="J7" s="195"/>
      <c r="K7" s="195"/>
      <c r="L7" s="195"/>
      <c r="M7" s="196"/>
    </row>
    <row r="8" spans="4:13" ht="15">
      <c r="D8" s="197"/>
      <c r="E8" s="198"/>
      <c r="F8" s="198"/>
      <c r="G8" s="198"/>
      <c r="H8" s="198"/>
      <c r="I8" s="198"/>
      <c r="J8" s="198"/>
      <c r="K8" s="198"/>
      <c r="L8" s="198"/>
      <c r="M8" s="199"/>
    </row>
    <row r="9" spans="4:13" ht="15">
      <c r="D9" s="197"/>
      <c r="E9" s="198"/>
      <c r="F9" s="198"/>
      <c r="G9" s="198"/>
      <c r="H9" s="198"/>
      <c r="I9" s="198"/>
      <c r="J9" s="198"/>
      <c r="K9" s="198"/>
      <c r="L9" s="198"/>
      <c r="M9" s="199"/>
    </row>
    <row r="10" spans="4:13" ht="15">
      <c r="D10" s="197"/>
      <c r="E10" s="198"/>
      <c r="F10" s="198"/>
      <c r="G10" s="198"/>
      <c r="H10" s="198"/>
      <c r="I10" s="198"/>
      <c r="J10" s="198"/>
      <c r="K10" s="198"/>
      <c r="L10" s="198"/>
      <c r="M10" s="199"/>
    </row>
    <row r="11" spans="4:13" ht="15">
      <c r="D11" s="197"/>
      <c r="E11" s="198"/>
      <c r="F11" s="198"/>
      <c r="G11" s="198"/>
      <c r="H11" s="198"/>
      <c r="I11" s="198"/>
      <c r="J11" s="198"/>
      <c r="K11" s="198"/>
      <c r="L11" s="198"/>
      <c r="M11" s="199"/>
    </row>
    <row r="12" spans="4:13" ht="15">
      <c r="D12" s="197"/>
      <c r="E12" s="198"/>
      <c r="F12" s="198"/>
      <c r="G12" s="198"/>
      <c r="H12" s="198"/>
      <c r="I12" s="198"/>
      <c r="J12" s="198"/>
      <c r="K12" s="198"/>
      <c r="L12" s="198"/>
      <c r="M12" s="199"/>
    </row>
    <row r="13" spans="4:13" ht="15">
      <c r="D13" s="200"/>
      <c r="E13" s="201"/>
      <c r="F13" s="201"/>
      <c r="G13" s="201"/>
      <c r="H13" s="201"/>
      <c r="I13" s="201"/>
      <c r="J13" s="201"/>
      <c r="K13" s="201"/>
      <c r="L13" s="201"/>
      <c r="M13" s="202"/>
    </row>
  </sheetData>
  <sheetProtection/>
  <mergeCells count="2">
    <mergeCell ref="D7:M13"/>
    <mergeCell ref="D5:M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AR29"/>
  <sheetViews>
    <sheetView zoomScale="85" zoomScaleNormal="85" zoomScalePageLayoutView="0" workbookViewId="0" topLeftCell="A1">
      <selection activeCell="A1" sqref="A1"/>
    </sheetView>
  </sheetViews>
  <sheetFormatPr defaultColWidth="11.421875" defaultRowHeight="15"/>
  <cols>
    <col min="1" max="1" width="11.421875" style="0" customWidth="1"/>
    <col min="2" max="2" width="53.57421875" style="0" bestFit="1" customWidth="1"/>
  </cols>
  <sheetData>
    <row r="2" ht="15">
      <c r="B2" s="113" t="s">
        <v>267</v>
      </c>
    </row>
    <row r="4" spans="2:3" ht="15">
      <c r="B4" s="114" t="s">
        <v>98</v>
      </c>
      <c r="C4" s="114">
        <v>25</v>
      </c>
    </row>
    <row r="5" spans="2:3" ht="15">
      <c r="B5" s="114" t="s">
        <v>99</v>
      </c>
      <c r="C5" s="115">
        <v>3086</v>
      </c>
    </row>
    <row r="6" spans="2:3" ht="15">
      <c r="B6" s="114" t="s">
        <v>100</v>
      </c>
      <c r="C6" s="117">
        <v>0.5</v>
      </c>
    </row>
    <row r="7" spans="2:3" ht="15">
      <c r="B7" s="114" t="s">
        <v>101</v>
      </c>
      <c r="C7" s="114">
        <v>164</v>
      </c>
    </row>
    <row r="9" ht="15">
      <c r="B9" s="113" t="s">
        <v>268</v>
      </c>
    </row>
    <row r="11" spans="2:3" ht="15">
      <c r="B11" s="114" t="s">
        <v>105</v>
      </c>
      <c r="C11" s="114">
        <f>Modèle!AR7</f>
        <v>41</v>
      </c>
    </row>
    <row r="12" spans="2:3" ht="15">
      <c r="B12" s="114" t="s">
        <v>106</v>
      </c>
      <c r="C12" s="114">
        <f>C11*4</f>
        <v>164</v>
      </c>
    </row>
    <row r="13" spans="2:3" ht="15">
      <c r="B13" s="114" t="s">
        <v>107</v>
      </c>
      <c r="C13" s="117">
        <v>0.5</v>
      </c>
    </row>
    <row r="16" spans="2:44" ht="15">
      <c r="B16" s="143" t="s">
        <v>27</v>
      </c>
      <c r="C16" s="143">
        <f>Modèle!C4</f>
        <v>2013</v>
      </c>
      <c r="D16" s="143">
        <f>Modèle!D4</f>
        <v>2014</v>
      </c>
      <c r="E16" s="143">
        <f>Modèle!E4</f>
        <v>2015</v>
      </c>
      <c r="F16" s="143">
        <f>Modèle!F4</f>
        <v>2016</v>
      </c>
      <c r="G16" s="143">
        <f>Modèle!G4</f>
        <v>2017</v>
      </c>
      <c r="H16" s="143">
        <f>Modèle!H4</f>
        <v>2018</v>
      </c>
      <c r="I16" s="143">
        <f>Modèle!I4</f>
        <v>2019</v>
      </c>
      <c r="J16" s="143">
        <f>Modèle!J4</f>
        <v>2020</v>
      </c>
      <c r="K16" s="143">
        <f>Modèle!K4</f>
        <v>2021</v>
      </c>
      <c r="L16" s="143">
        <f>Modèle!L4</f>
        <v>2022</v>
      </c>
      <c r="M16" s="143">
        <f>Modèle!M4</f>
        <v>2023</v>
      </c>
      <c r="N16" s="143">
        <f>Modèle!N4</f>
        <v>2024</v>
      </c>
      <c r="O16" s="143">
        <f>Modèle!O4</f>
        <v>2025</v>
      </c>
      <c r="P16" s="143">
        <f>Modèle!P4</f>
        <v>2026</v>
      </c>
      <c r="Q16" s="143">
        <f>Modèle!Q4</f>
        <v>2027</v>
      </c>
      <c r="R16" s="143">
        <f>Modèle!R4</f>
        <v>2028</v>
      </c>
      <c r="S16" s="143">
        <f>Modèle!S4</f>
        <v>2029</v>
      </c>
      <c r="T16" s="143">
        <f>Modèle!T4</f>
        <v>2030</v>
      </c>
      <c r="U16" s="143">
        <f>Modèle!U4</f>
        <v>2031</v>
      </c>
      <c r="V16" s="143">
        <f>Modèle!V4</f>
        <v>2032</v>
      </c>
      <c r="W16" s="143">
        <f>Modèle!W4</f>
        <v>2033</v>
      </c>
      <c r="X16" s="143">
        <f>Modèle!X4</f>
        <v>2034</v>
      </c>
      <c r="Y16" s="143">
        <f>Modèle!Y4</f>
        <v>2035</v>
      </c>
      <c r="Z16" s="143">
        <f>Modèle!Z4</f>
        <v>2036</v>
      </c>
      <c r="AA16" s="143">
        <f>Modèle!AA4</f>
        <v>2037</v>
      </c>
      <c r="AB16" s="143">
        <f>Modèle!AB4</f>
        <v>2038</v>
      </c>
      <c r="AC16" s="143">
        <f>Modèle!AC4</f>
        <v>2039</v>
      </c>
      <c r="AD16" s="143">
        <f>Modèle!AD4</f>
        <v>2040</v>
      </c>
      <c r="AE16" s="143">
        <f>Modèle!AE4</f>
        <v>2041</v>
      </c>
      <c r="AF16" s="143">
        <f>Modèle!AF4</f>
        <v>2042</v>
      </c>
      <c r="AG16" s="143">
        <f>Modèle!AG4</f>
        <v>2043</v>
      </c>
      <c r="AH16" s="143">
        <f>Modèle!AH4</f>
        <v>2044</v>
      </c>
      <c r="AI16" s="143">
        <f>Modèle!AI4</f>
        <v>2045</v>
      </c>
      <c r="AJ16" s="143">
        <f>Modèle!AJ4</f>
        <v>2046</v>
      </c>
      <c r="AK16" s="143">
        <f>Modèle!AK4</f>
        <v>2047</v>
      </c>
      <c r="AL16" s="143">
        <f>Modèle!AL4</f>
        <v>2048</v>
      </c>
      <c r="AM16" s="143">
        <f>Modèle!AM4</f>
        <v>2049</v>
      </c>
      <c r="AN16" s="143">
        <f>Modèle!AN4</f>
        <v>2050</v>
      </c>
      <c r="AO16" s="143">
        <f>Modèle!AO4</f>
        <v>2051</v>
      </c>
      <c r="AP16" s="143">
        <f>Modèle!AP4</f>
        <v>2052</v>
      </c>
      <c r="AQ16" s="143">
        <f>Modèle!AQ4</f>
        <v>2053</v>
      </c>
      <c r="AR16" s="143">
        <f>Modèle!AR4</f>
        <v>2054</v>
      </c>
    </row>
    <row r="17" spans="2:44" ht="15">
      <c r="B17" s="114" t="s">
        <v>270</v>
      </c>
      <c r="C17" s="115">
        <f>Modèle!C13</f>
        <v>20160</v>
      </c>
      <c r="D17" s="115">
        <f>Modèle!D13</f>
        <v>20563.2</v>
      </c>
      <c r="E17" s="115">
        <f>Modèle!E13</f>
        <v>20974.464</v>
      </c>
      <c r="F17" s="115">
        <f>Modèle!F13</f>
        <v>21393.95328</v>
      </c>
      <c r="G17" s="115">
        <f>Modèle!G13</f>
        <v>21821.832345600003</v>
      </c>
      <c r="H17" s="115">
        <f>Modèle!H13</f>
        <v>22258.268992512003</v>
      </c>
      <c r="I17" s="115">
        <f>Modèle!I13</f>
        <v>22703.434372362244</v>
      </c>
      <c r="J17" s="115">
        <f>Modèle!J13</f>
        <v>23157.50305980949</v>
      </c>
      <c r="K17" s="115">
        <f>Modèle!K13</f>
        <v>23620.65312100568</v>
      </c>
      <c r="L17" s="115">
        <f>Modèle!L13</f>
        <v>24093.06618342579</v>
      </c>
      <c r="M17" s="115">
        <f>Modèle!M13</f>
        <v>26984.234125436888</v>
      </c>
      <c r="N17" s="115">
        <f>Modèle!N13</f>
        <v>27523.918807945625</v>
      </c>
      <c r="O17" s="115">
        <f>Modèle!O13</f>
        <v>28074.39718410454</v>
      </c>
      <c r="P17" s="115">
        <f>Modèle!P13</f>
        <v>28635.88512778663</v>
      </c>
      <c r="Q17" s="115">
        <f>Modèle!Q13</f>
        <v>29208.602830342363</v>
      </c>
      <c r="R17" s="115">
        <f>Modèle!R13</f>
        <v>29792.77488694921</v>
      </c>
      <c r="S17" s="115">
        <f>Modèle!S13</f>
        <v>30388.630384688193</v>
      </c>
      <c r="T17" s="115">
        <f>Modèle!T13</f>
        <v>30996.402992381958</v>
      </c>
      <c r="U17" s="115">
        <f>Modèle!U13</f>
        <v>31616.331052229598</v>
      </c>
      <c r="V17" s="115">
        <f>Modèle!V13</f>
        <v>32248.65767327419</v>
      </c>
      <c r="W17" s="115">
        <f>Modèle!W13</f>
        <v>32893.630826739674</v>
      </c>
      <c r="X17" s="115">
        <f>Modèle!X13</f>
        <v>33551.503443274465</v>
      </c>
      <c r="Y17" s="115">
        <f>Modèle!Y13</f>
        <v>34222.533512139955</v>
      </c>
      <c r="Z17" s="115">
        <f>Modèle!Z13</f>
        <v>34906.98418238275</v>
      </c>
      <c r="AA17" s="115">
        <f>Modèle!AA13</f>
        <v>35605.12386603041</v>
      </c>
      <c r="AB17" s="115">
        <f>Modèle!AB13</f>
        <v>36317.226343351016</v>
      </c>
      <c r="AC17" s="115">
        <f>Modèle!AC13</f>
        <v>37043.570870218035</v>
      </c>
      <c r="AD17" s="115">
        <f>Modèle!AD13</f>
        <v>37784.4422876224</v>
      </c>
      <c r="AE17" s="115">
        <f>Modèle!AE13</f>
        <v>38540.131133374845</v>
      </c>
      <c r="AF17" s="115">
        <f>Modèle!AF13</f>
        <v>39310.933756042345</v>
      </c>
      <c r="AG17" s="115">
        <f>Modèle!AG13</f>
        <v>44028.24580676743</v>
      </c>
      <c r="AH17" s="115">
        <f>Modèle!AH13</f>
        <v>44908.81072290278</v>
      </c>
      <c r="AI17" s="115">
        <f>Modèle!AI13</f>
        <v>45806.98693736084</v>
      </c>
      <c r="AJ17" s="115">
        <f>Modèle!AJ13</f>
        <v>46723.126676108055</v>
      </c>
      <c r="AK17" s="115">
        <f>Modèle!AK13</f>
        <v>47657.58920963022</v>
      </c>
      <c r="AL17" s="115">
        <f>Modèle!AL13</f>
        <v>48610.74099382282</v>
      </c>
      <c r="AM17" s="115">
        <f>Modèle!AM13</f>
        <v>49582.95581369928</v>
      </c>
      <c r="AN17" s="115">
        <f>Modèle!AN13</f>
        <v>50574.614929973264</v>
      </c>
      <c r="AO17" s="115">
        <f>Modèle!AO13</f>
        <v>51586.10722857273</v>
      </c>
      <c r="AP17" s="115">
        <f>Modèle!AP13</f>
        <v>52617.82937314418</v>
      </c>
      <c r="AQ17" s="115">
        <f>Modèle!AQ13</f>
        <v>53670.185960607065</v>
      </c>
      <c r="AR17" s="115">
        <f>Modèle!AR13</f>
        <v>54743.589679819204</v>
      </c>
    </row>
    <row r="18" spans="2:44" ht="5.25" customHeight="1">
      <c r="B18" s="114"/>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row>
    <row r="19" spans="2:44" ht="15">
      <c r="B19" s="114" t="s">
        <v>269</v>
      </c>
      <c r="C19" s="115">
        <f>C5*12</f>
        <v>37032</v>
      </c>
      <c r="D19" s="115">
        <f>C19*(1+D20)</f>
        <v>37772.64</v>
      </c>
      <c r="E19" s="115">
        <f aca="true" t="shared" si="0" ref="E19:AR19">D19*(1+E20)</f>
        <v>38528.0928</v>
      </c>
      <c r="F19" s="115">
        <f t="shared" si="0"/>
        <v>39298.654656</v>
      </c>
      <c r="G19" s="115">
        <f t="shared" si="0"/>
        <v>40084.62774912</v>
      </c>
      <c r="H19" s="115">
        <f t="shared" si="0"/>
        <v>40886.3203041024</v>
      </c>
      <c r="I19" s="115">
        <f t="shared" si="0"/>
        <v>41704.04671018445</v>
      </c>
      <c r="J19" s="115">
        <f t="shared" si="0"/>
        <v>42538.127644388136</v>
      </c>
      <c r="K19" s="115">
        <f t="shared" si="0"/>
        <v>43388.8901972759</v>
      </c>
      <c r="L19" s="115">
        <f t="shared" si="0"/>
        <v>44256.66800122141</v>
      </c>
      <c r="M19" s="115">
        <f t="shared" si="0"/>
        <v>45141.801361245845</v>
      </c>
      <c r="N19" s="115">
        <f t="shared" si="0"/>
        <v>46044.637388470765</v>
      </c>
      <c r="O19" s="115">
        <f t="shared" si="0"/>
        <v>46965.53013624018</v>
      </c>
      <c r="P19" s="115">
        <f t="shared" si="0"/>
        <v>47904.84073896499</v>
      </c>
      <c r="Q19" s="115">
        <f t="shared" si="0"/>
        <v>48862.93755374429</v>
      </c>
      <c r="R19" s="115">
        <f t="shared" si="0"/>
        <v>49840.196304819176</v>
      </c>
      <c r="S19" s="115">
        <f t="shared" si="0"/>
        <v>50837.00023091556</v>
      </c>
      <c r="T19" s="115">
        <f t="shared" si="0"/>
        <v>51853.74023553387</v>
      </c>
      <c r="U19" s="115">
        <f t="shared" si="0"/>
        <v>52890.815040244546</v>
      </c>
      <c r="V19" s="115">
        <f t="shared" si="0"/>
        <v>53948.63134104944</v>
      </c>
      <c r="W19" s="115">
        <f t="shared" si="0"/>
        <v>55027.60396787043</v>
      </c>
      <c r="X19" s="115">
        <f t="shared" si="0"/>
        <v>56128.15604722784</v>
      </c>
      <c r="Y19" s="115">
        <f t="shared" si="0"/>
        <v>57250.7191681724</v>
      </c>
      <c r="Z19" s="115">
        <f t="shared" si="0"/>
        <v>58395.73355153585</v>
      </c>
      <c r="AA19" s="115">
        <f t="shared" si="0"/>
        <v>59563.64822256657</v>
      </c>
      <c r="AB19" s="115">
        <f t="shared" si="0"/>
        <v>60754.9211870179</v>
      </c>
      <c r="AC19" s="115">
        <f t="shared" si="0"/>
        <v>61970.01961075826</v>
      </c>
      <c r="AD19" s="115">
        <f t="shared" si="0"/>
        <v>63209.42000297343</v>
      </c>
      <c r="AE19" s="115">
        <f t="shared" si="0"/>
        <v>64473.6084030329</v>
      </c>
      <c r="AF19" s="115">
        <f t="shared" si="0"/>
        <v>65763.08057109355</v>
      </c>
      <c r="AG19" s="115">
        <f t="shared" si="0"/>
        <v>67078.34218251542</v>
      </c>
      <c r="AH19" s="115">
        <f t="shared" si="0"/>
        <v>68419.90902616573</v>
      </c>
      <c r="AI19" s="115">
        <f t="shared" si="0"/>
        <v>69788.30720668905</v>
      </c>
      <c r="AJ19" s="115">
        <f t="shared" si="0"/>
        <v>71184.07335082283</v>
      </c>
      <c r="AK19" s="115">
        <f t="shared" si="0"/>
        <v>72607.75481783929</v>
      </c>
      <c r="AL19" s="115">
        <f t="shared" si="0"/>
        <v>74059.90991419608</v>
      </c>
      <c r="AM19" s="115">
        <f t="shared" si="0"/>
        <v>75541.10811248</v>
      </c>
      <c r="AN19" s="115">
        <f t="shared" si="0"/>
        <v>77051.9302747296</v>
      </c>
      <c r="AO19" s="115">
        <f t="shared" si="0"/>
        <v>78592.9688802242</v>
      </c>
      <c r="AP19" s="115">
        <f t="shared" si="0"/>
        <v>80164.82825782869</v>
      </c>
      <c r="AQ19" s="115">
        <f t="shared" si="0"/>
        <v>81768.12482298526</v>
      </c>
      <c r="AR19" s="115">
        <f t="shared" si="0"/>
        <v>83403.48731944498</v>
      </c>
    </row>
    <row r="20" spans="2:44" ht="15">
      <c r="B20" s="114" t="s">
        <v>90</v>
      </c>
      <c r="C20" s="117">
        <f>Modèle!C84</f>
        <v>0.02</v>
      </c>
      <c r="D20" s="117">
        <f>Modèle!D84</f>
        <v>0.02</v>
      </c>
      <c r="E20" s="117">
        <f>Modèle!E84</f>
        <v>0.02</v>
      </c>
      <c r="F20" s="117">
        <f>Modèle!F84</f>
        <v>0.02</v>
      </c>
      <c r="G20" s="117">
        <f>Modèle!G84</f>
        <v>0.02</v>
      </c>
      <c r="H20" s="117">
        <f>Modèle!H84</f>
        <v>0.02</v>
      </c>
      <c r="I20" s="117">
        <f>Modèle!I84</f>
        <v>0.02</v>
      </c>
      <c r="J20" s="117">
        <f>Modèle!J84</f>
        <v>0.02</v>
      </c>
      <c r="K20" s="117">
        <f>Modèle!K84</f>
        <v>0.02</v>
      </c>
      <c r="L20" s="117">
        <f>Modèle!L84</f>
        <v>0.02</v>
      </c>
      <c r="M20" s="117">
        <f>Modèle!M84</f>
        <v>0.02</v>
      </c>
      <c r="N20" s="117">
        <f>Modèle!N84</f>
        <v>0.02</v>
      </c>
      <c r="O20" s="117">
        <f>Modèle!O84</f>
        <v>0.02</v>
      </c>
      <c r="P20" s="117">
        <f>Modèle!P84</f>
        <v>0.02</v>
      </c>
      <c r="Q20" s="117">
        <f>Modèle!Q84</f>
        <v>0.02</v>
      </c>
      <c r="R20" s="117">
        <f>Modèle!R84</f>
        <v>0.02</v>
      </c>
      <c r="S20" s="117">
        <f>Modèle!S84</f>
        <v>0.02</v>
      </c>
      <c r="T20" s="117">
        <f>Modèle!T84</f>
        <v>0.02</v>
      </c>
      <c r="U20" s="117">
        <f>Modèle!U84</f>
        <v>0.02</v>
      </c>
      <c r="V20" s="117">
        <f>Modèle!V84</f>
        <v>0.02</v>
      </c>
      <c r="W20" s="117">
        <f>Modèle!W84</f>
        <v>0.02</v>
      </c>
      <c r="X20" s="117">
        <f>Modèle!X84</f>
        <v>0.02</v>
      </c>
      <c r="Y20" s="117">
        <f>Modèle!Y84</f>
        <v>0.02</v>
      </c>
      <c r="Z20" s="117">
        <f>Modèle!Z84</f>
        <v>0.02</v>
      </c>
      <c r="AA20" s="117">
        <f>Modèle!AA84</f>
        <v>0.02</v>
      </c>
      <c r="AB20" s="117">
        <f>Modèle!AB84</f>
        <v>0.02</v>
      </c>
      <c r="AC20" s="117">
        <f>Modèle!AC84</f>
        <v>0.02</v>
      </c>
      <c r="AD20" s="117">
        <f>Modèle!AD84</f>
        <v>0.02</v>
      </c>
      <c r="AE20" s="117">
        <f>Modèle!AE84</f>
        <v>0.02</v>
      </c>
      <c r="AF20" s="117">
        <f>Modèle!AF84</f>
        <v>0.02</v>
      </c>
      <c r="AG20" s="117">
        <f>Modèle!AG84</f>
        <v>0.02</v>
      </c>
      <c r="AH20" s="117">
        <f>Modèle!AH84</f>
        <v>0.02</v>
      </c>
      <c r="AI20" s="117">
        <f>Modèle!AI84</f>
        <v>0.02</v>
      </c>
      <c r="AJ20" s="117">
        <f>Modèle!AJ84</f>
        <v>0.02</v>
      </c>
      <c r="AK20" s="117">
        <f>Modèle!AK84</f>
        <v>0.02</v>
      </c>
      <c r="AL20" s="117">
        <f>Modèle!AL84</f>
        <v>0.02</v>
      </c>
      <c r="AM20" s="117">
        <f>Modèle!AM84</f>
        <v>0.02</v>
      </c>
      <c r="AN20" s="117">
        <f>Modèle!AN84</f>
        <v>0.02</v>
      </c>
      <c r="AO20" s="117">
        <f>Modèle!AO84</f>
        <v>0.02</v>
      </c>
      <c r="AP20" s="117">
        <f>Modèle!AP84</f>
        <v>0.02</v>
      </c>
      <c r="AQ20" s="117">
        <f>Modèle!AQ84</f>
        <v>0.02</v>
      </c>
      <c r="AR20" s="117">
        <f>Modèle!AR84</f>
        <v>0.02</v>
      </c>
    </row>
    <row r="21" spans="2:44" ht="6" customHeight="1">
      <c r="B21" s="114"/>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row>
    <row r="22" spans="2:44" ht="15">
      <c r="B22" s="114" t="s">
        <v>272</v>
      </c>
      <c r="C22" s="145" t="str">
        <f aca="true" t="shared" si="1" ref="C22:AR22">IF(C17&lt;$AR$19,"Non","Oui")</f>
        <v>Non</v>
      </c>
      <c r="D22" s="145" t="str">
        <f t="shared" si="1"/>
        <v>Non</v>
      </c>
      <c r="E22" s="145" t="str">
        <f t="shared" si="1"/>
        <v>Non</v>
      </c>
      <c r="F22" s="145" t="str">
        <f t="shared" si="1"/>
        <v>Non</v>
      </c>
      <c r="G22" s="145" t="str">
        <f t="shared" si="1"/>
        <v>Non</v>
      </c>
      <c r="H22" s="145" t="str">
        <f t="shared" si="1"/>
        <v>Non</v>
      </c>
      <c r="I22" s="145" t="str">
        <f t="shared" si="1"/>
        <v>Non</v>
      </c>
      <c r="J22" s="145" t="str">
        <f t="shared" si="1"/>
        <v>Non</v>
      </c>
      <c r="K22" s="145" t="str">
        <f t="shared" si="1"/>
        <v>Non</v>
      </c>
      <c r="L22" s="145" t="str">
        <f t="shared" si="1"/>
        <v>Non</v>
      </c>
      <c r="M22" s="145" t="str">
        <f t="shared" si="1"/>
        <v>Non</v>
      </c>
      <c r="N22" s="145" t="str">
        <f t="shared" si="1"/>
        <v>Non</v>
      </c>
      <c r="O22" s="145" t="str">
        <f t="shared" si="1"/>
        <v>Non</v>
      </c>
      <c r="P22" s="145" t="str">
        <f t="shared" si="1"/>
        <v>Non</v>
      </c>
      <c r="Q22" s="145" t="str">
        <f t="shared" si="1"/>
        <v>Non</v>
      </c>
      <c r="R22" s="145" t="str">
        <f t="shared" si="1"/>
        <v>Non</v>
      </c>
      <c r="S22" s="145" t="str">
        <f t="shared" si="1"/>
        <v>Non</v>
      </c>
      <c r="T22" s="145" t="str">
        <f t="shared" si="1"/>
        <v>Non</v>
      </c>
      <c r="U22" s="145" t="str">
        <f t="shared" si="1"/>
        <v>Non</v>
      </c>
      <c r="V22" s="145" t="str">
        <f t="shared" si="1"/>
        <v>Non</v>
      </c>
      <c r="W22" s="145" t="str">
        <f t="shared" si="1"/>
        <v>Non</v>
      </c>
      <c r="X22" s="145" t="str">
        <f t="shared" si="1"/>
        <v>Non</v>
      </c>
      <c r="Y22" s="145" t="str">
        <f t="shared" si="1"/>
        <v>Non</v>
      </c>
      <c r="Z22" s="145" t="str">
        <f t="shared" si="1"/>
        <v>Non</v>
      </c>
      <c r="AA22" s="145" t="str">
        <f t="shared" si="1"/>
        <v>Non</v>
      </c>
      <c r="AB22" s="145" t="str">
        <f t="shared" si="1"/>
        <v>Non</v>
      </c>
      <c r="AC22" s="145" t="str">
        <f t="shared" si="1"/>
        <v>Non</v>
      </c>
      <c r="AD22" s="145" t="str">
        <f t="shared" si="1"/>
        <v>Non</v>
      </c>
      <c r="AE22" s="145" t="str">
        <f t="shared" si="1"/>
        <v>Non</v>
      </c>
      <c r="AF22" s="145" t="str">
        <f t="shared" si="1"/>
        <v>Non</v>
      </c>
      <c r="AG22" s="145" t="str">
        <f t="shared" si="1"/>
        <v>Non</v>
      </c>
      <c r="AH22" s="145" t="str">
        <f t="shared" si="1"/>
        <v>Non</v>
      </c>
      <c r="AI22" s="145" t="str">
        <f t="shared" si="1"/>
        <v>Non</v>
      </c>
      <c r="AJ22" s="145" t="str">
        <f t="shared" si="1"/>
        <v>Non</v>
      </c>
      <c r="AK22" s="145" t="str">
        <f t="shared" si="1"/>
        <v>Non</v>
      </c>
      <c r="AL22" s="145" t="str">
        <f t="shared" si="1"/>
        <v>Non</v>
      </c>
      <c r="AM22" s="145" t="str">
        <f t="shared" si="1"/>
        <v>Non</v>
      </c>
      <c r="AN22" s="145" t="str">
        <f t="shared" si="1"/>
        <v>Non</v>
      </c>
      <c r="AO22" s="145" t="str">
        <f t="shared" si="1"/>
        <v>Non</v>
      </c>
      <c r="AP22" s="145" t="str">
        <f t="shared" si="1"/>
        <v>Non</v>
      </c>
      <c r="AQ22" s="145" t="str">
        <f t="shared" si="1"/>
        <v>Non</v>
      </c>
      <c r="AR22" s="145" t="str">
        <f t="shared" si="1"/>
        <v>Non</v>
      </c>
    </row>
    <row r="23" spans="2:44" ht="15">
      <c r="B23" s="114" t="s">
        <v>271</v>
      </c>
      <c r="C23" s="115">
        <f aca="true" t="shared" si="2" ref="C23:AR23">IF(C22="Non",C17,C19)</f>
        <v>20160</v>
      </c>
      <c r="D23" s="115">
        <f t="shared" si="2"/>
        <v>20563.2</v>
      </c>
      <c r="E23" s="115">
        <f t="shared" si="2"/>
        <v>20974.464</v>
      </c>
      <c r="F23" s="115">
        <f t="shared" si="2"/>
        <v>21393.95328</v>
      </c>
      <c r="G23" s="115">
        <f t="shared" si="2"/>
        <v>21821.832345600003</v>
      </c>
      <c r="H23" s="115">
        <f t="shared" si="2"/>
        <v>22258.268992512003</v>
      </c>
      <c r="I23" s="115">
        <f t="shared" si="2"/>
        <v>22703.434372362244</v>
      </c>
      <c r="J23" s="115">
        <f t="shared" si="2"/>
        <v>23157.50305980949</v>
      </c>
      <c r="K23" s="115">
        <f t="shared" si="2"/>
        <v>23620.65312100568</v>
      </c>
      <c r="L23" s="115">
        <f t="shared" si="2"/>
        <v>24093.06618342579</v>
      </c>
      <c r="M23" s="115">
        <f t="shared" si="2"/>
        <v>26984.234125436888</v>
      </c>
      <c r="N23" s="115">
        <f t="shared" si="2"/>
        <v>27523.918807945625</v>
      </c>
      <c r="O23" s="115">
        <f t="shared" si="2"/>
        <v>28074.39718410454</v>
      </c>
      <c r="P23" s="115">
        <f t="shared" si="2"/>
        <v>28635.88512778663</v>
      </c>
      <c r="Q23" s="115">
        <f t="shared" si="2"/>
        <v>29208.602830342363</v>
      </c>
      <c r="R23" s="115">
        <f t="shared" si="2"/>
        <v>29792.77488694921</v>
      </c>
      <c r="S23" s="115">
        <f t="shared" si="2"/>
        <v>30388.630384688193</v>
      </c>
      <c r="T23" s="115">
        <f t="shared" si="2"/>
        <v>30996.402992381958</v>
      </c>
      <c r="U23" s="115">
        <f t="shared" si="2"/>
        <v>31616.331052229598</v>
      </c>
      <c r="V23" s="115">
        <f t="shared" si="2"/>
        <v>32248.65767327419</v>
      </c>
      <c r="W23" s="115">
        <f t="shared" si="2"/>
        <v>32893.630826739674</v>
      </c>
      <c r="X23" s="115">
        <f t="shared" si="2"/>
        <v>33551.503443274465</v>
      </c>
      <c r="Y23" s="115">
        <f t="shared" si="2"/>
        <v>34222.533512139955</v>
      </c>
      <c r="Z23" s="115">
        <f t="shared" si="2"/>
        <v>34906.98418238275</v>
      </c>
      <c r="AA23" s="115">
        <f t="shared" si="2"/>
        <v>35605.12386603041</v>
      </c>
      <c r="AB23" s="115">
        <f t="shared" si="2"/>
        <v>36317.226343351016</v>
      </c>
      <c r="AC23" s="115">
        <f t="shared" si="2"/>
        <v>37043.570870218035</v>
      </c>
      <c r="AD23" s="115">
        <f t="shared" si="2"/>
        <v>37784.4422876224</v>
      </c>
      <c r="AE23" s="115">
        <f t="shared" si="2"/>
        <v>38540.131133374845</v>
      </c>
      <c r="AF23" s="115">
        <f t="shared" si="2"/>
        <v>39310.933756042345</v>
      </c>
      <c r="AG23" s="115">
        <f t="shared" si="2"/>
        <v>44028.24580676743</v>
      </c>
      <c r="AH23" s="115">
        <f t="shared" si="2"/>
        <v>44908.81072290278</v>
      </c>
      <c r="AI23" s="115">
        <f t="shared" si="2"/>
        <v>45806.98693736084</v>
      </c>
      <c r="AJ23" s="115">
        <f t="shared" si="2"/>
        <v>46723.126676108055</v>
      </c>
      <c r="AK23" s="115">
        <f t="shared" si="2"/>
        <v>47657.58920963022</v>
      </c>
      <c r="AL23" s="115">
        <f t="shared" si="2"/>
        <v>48610.74099382282</v>
      </c>
      <c r="AM23" s="115">
        <f t="shared" si="2"/>
        <v>49582.95581369928</v>
      </c>
      <c r="AN23" s="115">
        <f t="shared" si="2"/>
        <v>50574.614929973264</v>
      </c>
      <c r="AO23" s="115">
        <f t="shared" si="2"/>
        <v>51586.10722857273</v>
      </c>
      <c r="AP23" s="115">
        <f t="shared" si="2"/>
        <v>52617.82937314418</v>
      </c>
      <c r="AQ23" s="115">
        <f t="shared" si="2"/>
        <v>53670.185960607065</v>
      </c>
      <c r="AR23" s="115">
        <f t="shared" si="2"/>
        <v>54743.589679819204</v>
      </c>
    </row>
    <row r="24" spans="2:44" ht="15">
      <c r="B24" s="114" t="s">
        <v>274</v>
      </c>
      <c r="C24" s="114">
        <f>RANK(C23,$C$23:$AQ$23)</f>
        <v>41</v>
      </c>
      <c r="D24" s="114">
        <f>RANK(D23,$C$23:$AQ$23)</f>
        <v>40</v>
      </c>
      <c r="E24" s="114">
        <f>RANK(E23,$C$23:$AQ$23)</f>
        <v>39</v>
      </c>
      <c r="F24" s="114">
        <f>RANK(F23,$C$23:$AQ$23)</f>
        <v>38</v>
      </c>
      <c r="G24" s="114">
        <f>RANK(G23,$C$23:$AQ$23)</f>
        <v>37</v>
      </c>
      <c r="H24" s="114">
        <f>RANK(H23,$C$23:$AQ$23)</f>
        <v>36</v>
      </c>
      <c r="I24" s="114">
        <f>RANK(I23,$C$23:$AQ$23)</f>
        <v>35</v>
      </c>
      <c r="J24" s="114">
        <f>RANK(J23,$C$23:$AQ$23)</f>
        <v>34</v>
      </c>
      <c r="K24" s="114">
        <f>RANK(K23,$C$23:$AQ$23)</f>
        <v>33</v>
      </c>
      <c r="L24" s="114">
        <f>RANK(L23,$C$23:$AQ$23)</f>
        <v>32</v>
      </c>
      <c r="M24" s="114">
        <f>RANK(M23,$C$23:$AQ$23)</f>
        <v>31</v>
      </c>
      <c r="N24" s="114">
        <f>RANK(N23,$C$23:$AQ$23)</f>
        <v>30</v>
      </c>
      <c r="O24" s="114">
        <f>RANK(O23,$C$23:$AQ$23)</f>
        <v>29</v>
      </c>
      <c r="P24" s="114">
        <f>RANK(P23,$C$23:$AQ$23)</f>
        <v>28</v>
      </c>
      <c r="Q24" s="114">
        <f>RANK(Q23,$C$23:$AQ$23)</f>
        <v>27</v>
      </c>
      <c r="R24" s="114">
        <f>RANK(R23,$C$23:$AQ$23)</f>
        <v>26</v>
      </c>
      <c r="S24" s="114">
        <f>RANK(S23,$C$23:$AQ$23)</f>
        <v>25</v>
      </c>
      <c r="T24" s="114">
        <f>RANK(T23,$C$23:$AQ$23)</f>
        <v>24</v>
      </c>
      <c r="U24" s="114">
        <f>RANK(U23,$C$23:$AQ$23)</f>
        <v>23</v>
      </c>
      <c r="V24" s="114">
        <f>RANK(V23,$C$23:$AQ$23)</f>
        <v>22</v>
      </c>
      <c r="W24" s="114">
        <f>RANK(W23,$C$23:$AQ$23)</f>
        <v>21</v>
      </c>
      <c r="X24" s="114">
        <f>RANK(X23,$C$23:$AQ$23)</f>
        <v>20</v>
      </c>
      <c r="Y24" s="114">
        <f>RANK(Y23,$C$23:$AQ$23)</f>
        <v>19</v>
      </c>
      <c r="Z24" s="114">
        <f>RANK(Z23,$C$23:$AQ$23)</f>
        <v>18</v>
      </c>
      <c r="AA24" s="114">
        <f>RANK(AA23,$C$23:$AQ$23)</f>
        <v>17</v>
      </c>
      <c r="AB24" s="114">
        <f>RANK(AB23,$C$23:$AQ$23)</f>
        <v>16</v>
      </c>
      <c r="AC24" s="114">
        <f>RANK(AC23,$C$23:$AQ$23)</f>
        <v>15</v>
      </c>
      <c r="AD24" s="114">
        <f>RANK(AD23,$C$23:$AQ$23)</f>
        <v>14</v>
      </c>
      <c r="AE24" s="114">
        <f>RANK(AE23,$C$23:$AQ$23)</f>
        <v>13</v>
      </c>
      <c r="AF24" s="114">
        <f>RANK(AF23,$C$23:$AQ$23)</f>
        <v>12</v>
      </c>
      <c r="AG24" s="114">
        <f>RANK(AG23,$C$23:$AQ$23)</f>
        <v>11</v>
      </c>
      <c r="AH24" s="114">
        <f>RANK(AH23,$C$23:$AQ$23)</f>
        <v>10</v>
      </c>
      <c r="AI24" s="114">
        <f>RANK(AI23,$C$23:$AQ$23)</f>
        <v>9</v>
      </c>
      <c r="AJ24" s="114">
        <f>RANK(AJ23,$C$23:$AQ$23)</f>
        <v>8</v>
      </c>
      <c r="AK24" s="114">
        <f>RANK(AK23,$C$23:$AQ$23)</f>
        <v>7</v>
      </c>
      <c r="AL24" s="114">
        <f>RANK(AL23,$C$23:$AQ$23)</f>
        <v>6</v>
      </c>
      <c r="AM24" s="114">
        <f>RANK(AM23,$C$23:$AQ$23)</f>
        <v>5</v>
      </c>
      <c r="AN24" s="114">
        <f>RANK(AN23,$C$23:$AQ$23)</f>
        <v>4</v>
      </c>
      <c r="AO24" s="114">
        <f>RANK(AO23,$C$23:$AQ$23)</f>
        <v>3</v>
      </c>
      <c r="AP24" s="114">
        <f>RANK(AP23,$C$23:$AQ$23)</f>
        <v>2</v>
      </c>
      <c r="AQ24" s="114">
        <f>RANK(AQ23,$C$23:$AQ$23)</f>
        <v>1</v>
      </c>
      <c r="AR24" s="114" t="s">
        <v>275</v>
      </c>
    </row>
    <row r="26" spans="2:3" ht="15">
      <c r="B26" s="114" t="s">
        <v>273</v>
      </c>
      <c r="C26" s="115">
        <f>SUMIF(C24:AQ24,"&lt;25",C23:AQ23)</f>
        <v>990804.6655916504</v>
      </c>
    </row>
    <row r="27" spans="2:3" ht="15">
      <c r="B27" s="114" t="s">
        <v>104</v>
      </c>
      <c r="C27" s="115">
        <f>C26/25</f>
        <v>39632.18662366601</v>
      </c>
    </row>
    <row r="29" spans="2:3" ht="15">
      <c r="B29" s="114" t="s">
        <v>108</v>
      </c>
      <c r="C29" s="115">
        <f>C13*C27</f>
        <v>19816.093311833007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3:BG133"/>
  <sheetViews>
    <sheetView zoomScale="85" zoomScaleNormal="85" zoomScalePageLayoutView="0" workbookViewId="0" topLeftCell="A1">
      <selection activeCell="AS28" sqref="AS28:BA28"/>
    </sheetView>
  </sheetViews>
  <sheetFormatPr defaultColWidth="11.421875" defaultRowHeight="15"/>
  <cols>
    <col min="1" max="1" width="11.421875" style="0" customWidth="1"/>
    <col min="2" max="2" width="35.00390625" style="0" customWidth="1"/>
    <col min="3" max="3" width="18.57421875" style="0" customWidth="1"/>
    <col min="4" max="4" width="22.57421875" style="0" customWidth="1"/>
    <col min="5" max="5" width="11.421875" style="0" customWidth="1"/>
    <col min="6" max="6" width="29.140625" style="0" customWidth="1"/>
  </cols>
  <sheetData>
    <row r="3" ht="15">
      <c r="B3" s="113" t="s">
        <v>161</v>
      </c>
    </row>
    <row r="5" ht="15">
      <c r="B5" s="113" t="s">
        <v>183</v>
      </c>
    </row>
    <row r="7" spans="2:53" ht="15">
      <c r="B7" s="114" t="s">
        <v>160</v>
      </c>
      <c r="C7" s="116">
        <v>37032</v>
      </c>
      <c r="D7" s="116">
        <f>C7*(1+D9)</f>
        <v>37772.64</v>
      </c>
      <c r="E7" s="116">
        <f aca="true" t="shared" si="0" ref="E7:BA7">D7*(1+E9)</f>
        <v>38528.0928</v>
      </c>
      <c r="F7" s="116">
        <f t="shared" si="0"/>
        <v>39298.654656</v>
      </c>
      <c r="G7" s="116">
        <f t="shared" si="0"/>
        <v>40084.62774912</v>
      </c>
      <c r="H7" s="116">
        <f t="shared" si="0"/>
        <v>40886.3203041024</v>
      </c>
      <c r="I7" s="116">
        <f t="shared" si="0"/>
        <v>41704.04671018445</v>
      </c>
      <c r="J7" s="116">
        <f t="shared" si="0"/>
        <v>42538.127644388136</v>
      </c>
      <c r="K7" s="116">
        <f t="shared" si="0"/>
        <v>43388.8901972759</v>
      </c>
      <c r="L7" s="116">
        <f t="shared" si="0"/>
        <v>44256.66800122141</v>
      </c>
      <c r="M7" s="116">
        <f t="shared" si="0"/>
        <v>45141.801361245845</v>
      </c>
      <c r="N7" s="116">
        <f t="shared" si="0"/>
        <v>46044.637388470765</v>
      </c>
      <c r="O7" s="116">
        <f t="shared" si="0"/>
        <v>46965.53013624018</v>
      </c>
      <c r="P7" s="116">
        <f t="shared" si="0"/>
        <v>47904.84073896499</v>
      </c>
      <c r="Q7" s="116">
        <f t="shared" si="0"/>
        <v>48862.93755374429</v>
      </c>
      <c r="R7" s="116">
        <f t="shared" si="0"/>
        <v>49840.196304819176</v>
      </c>
      <c r="S7" s="116">
        <f t="shared" si="0"/>
        <v>50837.00023091556</v>
      </c>
      <c r="T7" s="116">
        <f t="shared" si="0"/>
        <v>51853.74023553387</v>
      </c>
      <c r="U7" s="116">
        <f t="shared" si="0"/>
        <v>52890.815040244546</v>
      </c>
      <c r="V7" s="116">
        <f t="shared" si="0"/>
        <v>53948.63134104944</v>
      </c>
      <c r="W7" s="116">
        <f t="shared" si="0"/>
        <v>55027.60396787043</v>
      </c>
      <c r="X7" s="116">
        <f t="shared" si="0"/>
        <v>56128.15604722784</v>
      </c>
      <c r="Y7" s="116">
        <f t="shared" si="0"/>
        <v>57250.7191681724</v>
      </c>
      <c r="Z7" s="116">
        <f t="shared" si="0"/>
        <v>58395.73355153585</v>
      </c>
      <c r="AA7" s="116">
        <f t="shared" si="0"/>
        <v>59563.64822256657</v>
      </c>
      <c r="AB7" s="116">
        <f t="shared" si="0"/>
        <v>60754.9211870179</v>
      </c>
      <c r="AC7" s="116">
        <f t="shared" si="0"/>
        <v>61970.01961075826</v>
      </c>
      <c r="AD7" s="116">
        <f t="shared" si="0"/>
        <v>63209.42000297343</v>
      </c>
      <c r="AE7" s="116">
        <f t="shared" si="0"/>
        <v>64473.6084030329</v>
      </c>
      <c r="AF7" s="116">
        <f t="shared" si="0"/>
        <v>65763.08057109355</v>
      </c>
      <c r="AG7" s="116">
        <f t="shared" si="0"/>
        <v>67078.34218251542</v>
      </c>
      <c r="AH7" s="116">
        <f t="shared" si="0"/>
        <v>68419.90902616573</v>
      </c>
      <c r="AI7" s="116">
        <f t="shared" si="0"/>
        <v>69788.30720668905</v>
      </c>
      <c r="AJ7" s="116">
        <f t="shared" si="0"/>
        <v>71184.07335082283</v>
      </c>
      <c r="AK7" s="116">
        <f t="shared" si="0"/>
        <v>72607.75481783929</v>
      </c>
      <c r="AL7" s="116">
        <f t="shared" si="0"/>
        <v>74059.90991419608</v>
      </c>
      <c r="AM7" s="116">
        <f t="shared" si="0"/>
        <v>75541.10811248</v>
      </c>
      <c r="AN7" s="116">
        <f t="shared" si="0"/>
        <v>77051.9302747296</v>
      </c>
      <c r="AO7" s="116">
        <f t="shared" si="0"/>
        <v>78592.9688802242</v>
      </c>
      <c r="AP7" s="116">
        <f t="shared" si="0"/>
        <v>80164.82825782869</v>
      </c>
      <c r="AQ7" s="116">
        <f t="shared" si="0"/>
        <v>81768.12482298526</v>
      </c>
      <c r="AR7" s="116">
        <f t="shared" si="0"/>
        <v>83403.48731944498</v>
      </c>
      <c r="AS7" s="116">
        <f t="shared" si="0"/>
        <v>85071.55706583388</v>
      </c>
      <c r="AT7" s="116">
        <f t="shared" si="0"/>
        <v>86772.98820715056</v>
      </c>
      <c r="AU7" s="116">
        <f t="shared" si="0"/>
        <v>88508.44797129357</v>
      </c>
      <c r="AV7" s="116">
        <f t="shared" si="0"/>
        <v>90278.61693071945</v>
      </c>
      <c r="AW7" s="116">
        <f t="shared" si="0"/>
        <v>92084.18926933385</v>
      </c>
      <c r="AX7" s="116">
        <f t="shared" si="0"/>
        <v>93925.87305472052</v>
      </c>
      <c r="AY7" s="116">
        <f t="shared" si="0"/>
        <v>95804.39051581493</v>
      </c>
      <c r="AZ7" s="116">
        <f t="shared" si="0"/>
        <v>97720.47832613123</v>
      </c>
      <c r="BA7" s="116">
        <f t="shared" si="0"/>
        <v>99674.88789265385</v>
      </c>
    </row>
    <row r="8" spans="2:53" ht="15">
      <c r="B8" s="114" t="s">
        <v>182</v>
      </c>
      <c r="C8" s="116">
        <f>C7*4</f>
        <v>148128</v>
      </c>
      <c r="D8" s="116">
        <f aca="true" t="shared" si="1" ref="D8:BA8">D7*4</f>
        <v>151090.56</v>
      </c>
      <c r="E8" s="116">
        <f t="shared" si="1"/>
        <v>154112.3712</v>
      </c>
      <c r="F8" s="116">
        <f t="shared" si="1"/>
        <v>157194.618624</v>
      </c>
      <c r="G8" s="116">
        <f t="shared" si="1"/>
        <v>160338.51099648</v>
      </c>
      <c r="H8" s="116">
        <f t="shared" si="1"/>
        <v>163545.2812164096</v>
      </c>
      <c r="I8" s="116">
        <f t="shared" si="1"/>
        <v>166816.1868407378</v>
      </c>
      <c r="J8" s="116">
        <f t="shared" si="1"/>
        <v>170152.51057755254</v>
      </c>
      <c r="K8" s="116">
        <f t="shared" si="1"/>
        <v>173555.5607891036</v>
      </c>
      <c r="L8" s="116">
        <f t="shared" si="1"/>
        <v>177026.67200488565</v>
      </c>
      <c r="M8" s="116">
        <f t="shared" si="1"/>
        <v>180567.20544498338</v>
      </c>
      <c r="N8" s="116">
        <f t="shared" si="1"/>
        <v>184178.54955388306</v>
      </c>
      <c r="O8" s="116">
        <f t="shared" si="1"/>
        <v>187862.12054496072</v>
      </c>
      <c r="P8" s="116">
        <f t="shared" si="1"/>
        <v>191619.36295585995</v>
      </c>
      <c r="Q8" s="116">
        <f t="shared" si="1"/>
        <v>195451.75021497716</v>
      </c>
      <c r="R8" s="116">
        <f t="shared" si="1"/>
        <v>199360.7852192767</v>
      </c>
      <c r="S8" s="116">
        <f t="shared" si="1"/>
        <v>203348.00092366224</v>
      </c>
      <c r="T8" s="116">
        <f t="shared" si="1"/>
        <v>207414.96094213548</v>
      </c>
      <c r="U8" s="116">
        <f t="shared" si="1"/>
        <v>211563.26016097819</v>
      </c>
      <c r="V8" s="116">
        <f t="shared" si="1"/>
        <v>215794.52536419776</v>
      </c>
      <c r="W8" s="116">
        <f t="shared" si="1"/>
        <v>220110.41587148173</v>
      </c>
      <c r="X8" s="116">
        <f t="shared" si="1"/>
        <v>224512.62418891137</v>
      </c>
      <c r="Y8" s="116">
        <f t="shared" si="1"/>
        <v>229002.8766726896</v>
      </c>
      <c r="Z8" s="116">
        <f t="shared" si="1"/>
        <v>233582.9342061434</v>
      </c>
      <c r="AA8" s="116">
        <f t="shared" si="1"/>
        <v>238254.59289026627</v>
      </c>
      <c r="AB8" s="116">
        <f t="shared" si="1"/>
        <v>243019.6847480716</v>
      </c>
      <c r="AC8" s="116">
        <f t="shared" si="1"/>
        <v>247880.07844303304</v>
      </c>
      <c r="AD8" s="116">
        <f t="shared" si="1"/>
        <v>252837.6800118937</v>
      </c>
      <c r="AE8" s="116">
        <f t="shared" si="1"/>
        <v>257894.4336121316</v>
      </c>
      <c r="AF8" s="116">
        <f t="shared" si="1"/>
        <v>263052.3222843742</v>
      </c>
      <c r="AG8" s="116">
        <f t="shared" si="1"/>
        <v>268313.3687300617</v>
      </c>
      <c r="AH8" s="116">
        <f t="shared" si="1"/>
        <v>273679.6361046629</v>
      </c>
      <c r="AI8" s="116">
        <f t="shared" si="1"/>
        <v>279153.2288267562</v>
      </c>
      <c r="AJ8" s="116">
        <f t="shared" si="1"/>
        <v>284736.2934032913</v>
      </c>
      <c r="AK8" s="116">
        <f t="shared" si="1"/>
        <v>290431.01927135716</v>
      </c>
      <c r="AL8" s="116">
        <f t="shared" si="1"/>
        <v>296239.6396567843</v>
      </c>
      <c r="AM8" s="116">
        <f t="shared" si="1"/>
        <v>302164.43244992</v>
      </c>
      <c r="AN8" s="116">
        <f t="shared" si="1"/>
        <v>308207.7210989184</v>
      </c>
      <c r="AO8" s="116">
        <f t="shared" si="1"/>
        <v>314371.8755208968</v>
      </c>
      <c r="AP8" s="116">
        <f t="shared" si="1"/>
        <v>320659.31303131476</v>
      </c>
      <c r="AQ8" s="116">
        <f t="shared" si="1"/>
        <v>327072.49929194106</v>
      </c>
      <c r="AR8" s="116">
        <f t="shared" si="1"/>
        <v>333613.9492777799</v>
      </c>
      <c r="AS8" s="116">
        <f t="shared" si="1"/>
        <v>340286.22826333554</v>
      </c>
      <c r="AT8" s="116">
        <f t="shared" si="1"/>
        <v>347091.9528286022</v>
      </c>
      <c r="AU8" s="116">
        <f t="shared" si="1"/>
        <v>354033.7918851743</v>
      </c>
      <c r="AV8" s="116">
        <f t="shared" si="1"/>
        <v>361114.4677228778</v>
      </c>
      <c r="AW8" s="116">
        <f t="shared" si="1"/>
        <v>368336.7570773354</v>
      </c>
      <c r="AX8" s="116">
        <f t="shared" si="1"/>
        <v>375703.4922188821</v>
      </c>
      <c r="AY8" s="116">
        <f t="shared" si="1"/>
        <v>383217.5620632597</v>
      </c>
      <c r="AZ8" s="116">
        <f t="shared" si="1"/>
        <v>390881.9133045249</v>
      </c>
      <c r="BA8" s="116">
        <f t="shared" si="1"/>
        <v>398699.5515706154</v>
      </c>
    </row>
    <row r="9" spans="2:53" ht="15">
      <c r="B9" s="114" t="s">
        <v>90</v>
      </c>
      <c r="C9" s="117">
        <f>C47</f>
        <v>0.02</v>
      </c>
      <c r="D9" s="117">
        <f aca="true" t="shared" si="2" ref="D9:BA9">D47</f>
        <v>0.02</v>
      </c>
      <c r="E9" s="117">
        <f t="shared" si="2"/>
        <v>0.02</v>
      </c>
      <c r="F9" s="117">
        <f t="shared" si="2"/>
        <v>0.02</v>
      </c>
      <c r="G9" s="117">
        <f t="shared" si="2"/>
        <v>0.02</v>
      </c>
      <c r="H9" s="117">
        <f t="shared" si="2"/>
        <v>0.02</v>
      </c>
      <c r="I9" s="117">
        <f t="shared" si="2"/>
        <v>0.02</v>
      </c>
      <c r="J9" s="117">
        <f t="shared" si="2"/>
        <v>0.02</v>
      </c>
      <c r="K9" s="117">
        <f t="shared" si="2"/>
        <v>0.02</v>
      </c>
      <c r="L9" s="117">
        <f t="shared" si="2"/>
        <v>0.02</v>
      </c>
      <c r="M9" s="117">
        <f t="shared" si="2"/>
        <v>0.02</v>
      </c>
      <c r="N9" s="117">
        <f t="shared" si="2"/>
        <v>0.02</v>
      </c>
      <c r="O9" s="117">
        <f t="shared" si="2"/>
        <v>0.02</v>
      </c>
      <c r="P9" s="117">
        <f t="shared" si="2"/>
        <v>0.02</v>
      </c>
      <c r="Q9" s="117">
        <f t="shared" si="2"/>
        <v>0.02</v>
      </c>
      <c r="R9" s="117">
        <f t="shared" si="2"/>
        <v>0.02</v>
      </c>
      <c r="S9" s="117">
        <f t="shared" si="2"/>
        <v>0.02</v>
      </c>
      <c r="T9" s="117">
        <f t="shared" si="2"/>
        <v>0.02</v>
      </c>
      <c r="U9" s="117">
        <f t="shared" si="2"/>
        <v>0.02</v>
      </c>
      <c r="V9" s="117">
        <f t="shared" si="2"/>
        <v>0.02</v>
      </c>
      <c r="W9" s="117">
        <f t="shared" si="2"/>
        <v>0.02</v>
      </c>
      <c r="X9" s="117">
        <f t="shared" si="2"/>
        <v>0.02</v>
      </c>
      <c r="Y9" s="117">
        <f t="shared" si="2"/>
        <v>0.02</v>
      </c>
      <c r="Z9" s="117">
        <f t="shared" si="2"/>
        <v>0.02</v>
      </c>
      <c r="AA9" s="117">
        <f t="shared" si="2"/>
        <v>0.02</v>
      </c>
      <c r="AB9" s="117">
        <f t="shared" si="2"/>
        <v>0.02</v>
      </c>
      <c r="AC9" s="117">
        <f t="shared" si="2"/>
        <v>0.02</v>
      </c>
      <c r="AD9" s="117">
        <f t="shared" si="2"/>
        <v>0.02</v>
      </c>
      <c r="AE9" s="117">
        <f t="shared" si="2"/>
        <v>0.02</v>
      </c>
      <c r="AF9" s="117">
        <f t="shared" si="2"/>
        <v>0.02</v>
      </c>
      <c r="AG9" s="117">
        <f t="shared" si="2"/>
        <v>0.02</v>
      </c>
      <c r="AH9" s="117">
        <f t="shared" si="2"/>
        <v>0.02</v>
      </c>
      <c r="AI9" s="117">
        <f t="shared" si="2"/>
        <v>0.02</v>
      </c>
      <c r="AJ9" s="117">
        <f t="shared" si="2"/>
        <v>0.02</v>
      </c>
      <c r="AK9" s="117">
        <f t="shared" si="2"/>
        <v>0.02</v>
      </c>
      <c r="AL9" s="117">
        <f t="shared" si="2"/>
        <v>0.02</v>
      </c>
      <c r="AM9" s="117">
        <f t="shared" si="2"/>
        <v>0.02</v>
      </c>
      <c r="AN9" s="117">
        <f t="shared" si="2"/>
        <v>0.02</v>
      </c>
      <c r="AO9" s="117">
        <f t="shared" si="2"/>
        <v>0.02</v>
      </c>
      <c r="AP9" s="117">
        <f t="shared" si="2"/>
        <v>0.02</v>
      </c>
      <c r="AQ9" s="117">
        <f t="shared" si="2"/>
        <v>0.02</v>
      </c>
      <c r="AR9" s="117">
        <f t="shared" si="2"/>
        <v>0.02</v>
      </c>
      <c r="AS9" s="117">
        <f t="shared" si="2"/>
        <v>0.02</v>
      </c>
      <c r="AT9" s="117">
        <f t="shared" si="2"/>
        <v>0.02</v>
      </c>
      <c r="AU9" s="117">
        <f t="shared" si="2"/>
        <v>0.02</v>
      </c>
      <c r="AV9" s="117">
        <f t="shared" si="2"/>
        <v>0.02</v>
      </c>
      <c r="AW9" s="117">
        <f t="shared" si="2"/>
        <v>0.02</v>
      </c>
      <c r="AX9" s="117">
        <f t="shared" si="2"/>
        <v>0.02</v>
      </c>
      <c r="AY9" s="117">
        <f t="shared" si="2"/>
        <v>0.02</v>
      </c>
      <c r="AZ9" s="117">
        <f t="shared" si="2"/>
        <v>0.02</v>
      </c>
      <c r="BA9" s="117">
        <f t="shared" si="2"/>
        <v>0.02</v>
      </c>
    </row>
    <row r="10" spans="2:53" ht="15">
      <c r="B10" s="114" t="s">
        <v>177</v>
      </c>
      <c r="C10" s="122">
        <v>0.075</v>
      </c>
      <c r="D10" s="122">
        <f>C10</f>
        <v>0.075</v>
      </c>
      <c r="E10" s="122">
        <f aca="true" t="shared" si="3" ref="E10:BA10">D10</f>
        <v>0.075</v>
      </c>
      <c r="F10" s="122">
        <f t="shared" si="3"/>
        <v>0.075</v>
      </c>
      <c r="G10" s="122">
        <f t="shared" si="3"/>
        <v>0.075</v>
      </c>
      <c r="H10" s="122">
        <f t="shared" si="3"/>
        <v>0.075</v>
      </c>
      <c r="I10" s="122">
        <f t="shared" si="3"/>
        <v>0.075</v>
      </c>
      <c r="J10" s="122">
        <f t="shared" si="3"/>
        <v>0.075</v>
      </c>
      <c r="K10" s="122">
        <f t="shared" si="3"/>
        <v>0.075</v>
      </c>
      <c r="L10" s="122">
        <f t="shared" si="3"/>
        <v>0.075</v>
      </c>
      <c r="M10" s="122">
        <f t="shared" si="3"/>
        <v>0.075</v>
      </c>
      <c r="N10" s="122">
        <f t="shared" si="3"/>
        <v>0.075</v>
      </c>
      <c r="O10" s="122">
        <f t="shared" si="3"/>
        <v>0.075</v>
      </c>
      <c r="P10" s="122">
        <f t="shared" si="3"/>
        <v>0.075</v>
      </c>
      <c r="Q10" s="122">
        <f t="shared" si="3"/>
        <v>0.075</v>
      </c>
      <c r="R10" s="122">
        <f t="shared" si="3"/>
        <v>0.075</v>
      </c>
      <c r="S10" s="122">
        <f t="shared" si="3"/>
        <v>0.075</v>
      </c>
      <c r="T10" s="122">
        <f t="shared" si="3"/>
        <v>0.075</v>
      </c>
      <c r="U10" s="122">
        <f t="shared" si="3"/>
        <v>0.075</v>
      </c>
      <c r="V10" s="122">
        <f t="shared" si="3"/>
        <v>0.075</v>
      </c>
      <c r="W10" s="122">
        <f t="shared" si="3"/>
        <v>0.075</v>
      </c>
      <c r="X10" s="122">
        <f t="shared" si="3"/>
        <v>0.075</v>
      </c>
      <c r="Y10" s="122">
        <f t="shared" si="3"/>
        <v>0.075</v>
      </c>
      <c r="Z10" s="122">
        <f t="shared" si="3"/>
        <v>0.075</v>
      </c>
      <c r="AA10" s="122">
        <f t="shared" si="3"/>
        <v>0.075</v>
      </c>
      <c r="AB10" s="122">
        <f t="shared" si="3"/>
        <v>0.075</v>
      </c>
      <c r="AC10" s="122">
        <f t="shared" si="3"/>
        <v>0.075</v>
      </c>
      <c r="AD10" s="122">
        <f t="shared" si="3"/>
        <v>0.075</v>
      </c>
      <c r="AE10" s="122">
        <f t="shared" si="3"/>
        <v>0.075</v>
      </c>
      <c r="AF10" s="122">
        <f t="shared" si="3"/>
        <v>0.075</v>
      </c>
      <c r="AG10" s="122">
        <f t="shared" si="3"/>
        <v>0.075</v>
      </c>
      <c r="AH10" s="122">
        <f t="shared" si="3"/>
        <v>0.075</v>
      </c>
      <c r="AI10" s="122">
        <f t="shared" si="3"/>
        <v>0.075</v>
      </c>
      <c r="AJ10" s="122">
        <f t="shared" si="3"/>
        <v>0.075</v>
      </c>
      <c r="AK10" s="122">
        <f t="shared" si="3"/>
        <v>0.075</v>
      </c>
      <c r="AL10" s="122">
        <f t="shared" si="3"/>
        <v>0.075</v>
      </c>
      <c r="AM10" s="122">
        <f t="shared" si="3"/>
        <v>0.075</v>
      </c>
      <c r="AN10" s="122">
        <f t="shared" si="3"/>
        <v>0.075</v>
      </c>
      <c r="AO10" s="122">
        <f t="shared" si="3"/>
        <v>0.075</v>
      </c>
      <c r="AP10" s="122">
        <f t="shared" si="3"/>
        <v>0.075</v>
      </c>
      <c r="AQ10" s="122">
        <f t="shared" si="3"/>
        <v>0.075</v>
      </c>
      <c r="AR10" s="122">
        <f t="shared" si="3"/>
        <v>0.075</v>
      </c>
      <c r="AS10" s="122">
        <f t="shared" si="3"/>
        <v>0.075</v>
      </c>
      <c r="AT10" s="122">
        <f t="shared" si="3"/>
        <v>0.075</v>
      </c>
      <c r="AU10" s="122">
        <f t="shared" si="3"/>
        <v>0.075</v>
      </c>
      <c r="AV10" s="122">
        <f t="shared" si="3"/>
        <v>0.075</v>
      </c>
      <c r="AW10" s="122">
        <f t="shared" si="3"/>
        <v>0.075</v>
      </c>
      <c r="AX10" s="122">
        <f t="shared" si="3"/>
        <v>0.075</v>
      </c>
      <c r="AY10" s="122">
        <f t="shared" si="3"/>
        <v>0.075</v>
      </c>
      <c r="AZ10" s="122">
        <f t="shared" si="3"/>
        <v>0.075</v>
      </c>
      <c r="BA10" s="122">
        <f t="shared" si="3"/>
        <v>0.075</v>
      </c>
    </row>
    <row r="11" spans="2:53" ht="15">
      <c r="B11" s="114" t="s">
        <v>178</v>
      </c>
      <c r="C11" s="122">
        <v>0.005</v>
      </c>
      <c r="D11" s="122">
        <f>C11</f>
        <v>0.005</v>
      </c>
      <c r="E11" s="122">
        <f aca="true" t="shared" si="4" ref="E11:BA11">D11</f>
        <v>0.005</v>
      </c>
      <c r="F11" s="122">
        <f t="shared" si="4"/>
        <v>0.005</v>
      </c>
      <c r="G11" s="122">
        <f t="shared" si="4"/>
        <v>0.005</v>
      </c>
      <c r="H11" s="122">
        <f t="shared" si="4"/>
        <v>0.005</v>
      </c>
      <c r="I11" s="122">
        <f t="shared" si="4"/>
        <v>0.005</v>
      </c>
      <c r="J11" s="122">
        <f t="shared" si="4"/>
        <v>0.005</v>
      </c>
      <c r="K11" s="122">
        <f t="shared" si="4"/>
        <v>0.005</v>
      </c>
      <c r="L11" s="122">
        <f t="shared" si="4"/>
        <v>0.005</v>
      </c>
      <c r="M11" s="122">
        <f t="shared" si="4"/>
        <v>0.005</v>
      </c>
      <c r="N11" s="122">
        <f t="shared" si="4"/>
        <v>0.005</v>
      </c>
      <c r="O11" s="122">
        <f t="shared" si="4"/>
        <v>0.005</v>
      </c>
      <c r="P11" s="122">
        <f t="shared" si="4"/>
        <v>0.005</v>
      </c>
      <c r="Q11" s="122">
        <f t="shared" si="4"/>
        <v>0.005</v>
      </c>
      <c r="R11" s="122">
        <f t="shared" si="4"/>
        <v>0.005</v>
      </c>
      <c r="S11" s="122">
        <f t="shared" si="4"/>
        <v>0.005</v>
      </c>
      <c r="T11" s="122">
        <f t="shared" si="4"/>
        <v>0.005</v>
      </c>
      <c r="U11" s="122">
        <f t="shared" si="4"/>
        <v>0.005</v>
      </c>
      <c r="V11" s="122">
        <f t="shared" si="4"/>
        <v>0.005</v>
      </c>
      <c r="W11" s="122">
        <f t="shared" si="4"/>
        <v>0.005</v>
      </c>
      <c r="X11" s="122">
        <f t="shared" si="4"/>
        <v>0.005</v>
      </c>
      <c r="Y11" s="122">
        <f t="shared" si="4"/>
        <v>0.005</v>
      </c>
      <c r="Z11" s="122">
        <f t="shared" si="4"/>
        <v>0.005</v>
      </c>
      <c r="AA11" s="122">
        <f t="shared" si="4"/>
        <v>0.005</v>
      </c>
      <c r="AB11" s="122">
        <f t="shared" si="4"/>
        <v>0.005</v>
      </c>
      <c r="AC11" s="122">
        <f t="shared" si="4"/>
        <v>0.005</v>
      </c>
      <c r="AD11" s="122">
        <f t="shared" si="4"/>
        <v>0.005</v>
      </c>
      <c r="AE11" s="122">
        <f t="shared" si="4"/>
        <v>0.005</v>
      </c>
      <c r="AF11" s="122">
        <f t="shared" si="4"/>
        <v>0.005</v>
      </c>
      <c r="AG11" s="122">
        <f t="shared" si="4"/>
        <v>0.005</v>
      </c>
      <c r="AH11" s="122">
        <f t="shared" si="4"/>
        <v>0.005</v>
      </c>
      <c r="AI11" s="122">
        <f t="shared" si="4"/>
        <v>0.005</v>
      </c>
      <c r="AJ11" s="122">
        <f t="shared" si="4"/>
        <v>0.005</v>
      </c>
      <c r="AK11" s="122">
        <f t="shared" si="4"/>
        <v>0.005</v>
      </c>
      <c r="AL11" s="122">
        <f t="shared" si="4"/>
        <v>0.005</v>
      </c>
      <c r="AM11" s="122">
        <f t="shared" si="4"/>
        <v>0.005</v>
      </c>
      <c r="AN11" s="122">
        <f t="shared" si="4"/>
        <v>0.005</v>
      </c>
      <c r="AO11" s="122">
        <f t="shared" si="4"/>
        <v>0.005</v>
      </c>
      <c r="AP11" s="122">
        <f t="shared" si="4"/>
        <v>0.005</v>
      </c>
      <c r="AQ11" s="122">
        <f t="shared" si="4"/>
        <v>0.005</v>
      </c>
      <c r="AR11" s="122">
        <f t="shared" si="4"/>
        <v>0.005</v>
      </c>
      <c r="AS11" s="122">
        <f t="shared" si="4"/>
        <v>0.005</v>
      </c>
      <c r="AT11" s="122">
        <f t="shared" si="4"/>
        <v>0.005</v>
      </c>
      <c r="AU11" s="122">
        <f t="shared" si="4"/>
        <v>0.005</v>
      </c>
      <c r="AV11" s="122">
        <f t="shared" si="4"/>
        <v>0.005</v>
      </c>
      <c r="AW11" s="122">
        <f t="shared" si="4"/>
        <v>0.005</v>
      </c>
      <c r="AX11" s="122">
        <f t="shared" si="4"/>
        <v>0.005</v>
      </c>
      <c r="AY11" s="122">
        <f t="shared" si="4"/>
        <v>0.005</v>
      </c>
      <c r="AZ11" s="122">
        <f t="shared" si="4"/>
        <v>0.005</v>
      </c>
      <c r="BA11" s="122">
        <f t="shared" si="4"/>
        <v>0.005</v>
      </c>
    </row>
    <row r="13" spans="2:53" ht="15">
      <c r="B13" s="114" t="s">
        <v>3</v>
      </c>
      <c r="C13" s="115">
        <f>Modèle!C13</f>
        <v>20160</v>
      </c>
      <c r="D13" s="115">
        <f>Modèle!D13</f>
        <v>20563.2</v>
      </c>
      <c r="E13" s="115">
        <f>Modèle!E13</f>
        <v>20974.464</v>
      </c>
      <c r="F13" s="115">
        <f>Modèle!F13</f>
        <v>21393.95328</v>
      </c>
      <c r="G13" s="115">
        <f>Modèle!G13</f>
        <v>21821.832345600003</v>
      </c>
      <c r="H13" s="115">
        <f>Modèle!H13</f>
        <v>22258.268992512003</v>
      </c>
      <c r="I13" s="115">
        <f>Modèle!I13</f>
        <v>22703.434372362244</v>
      </c>
      <c r="J13" s="115">
        <f>Modèle!J13</f>
        <v>23157.50305980949</v>
      </c>
      <c r="K13" s="115">
        <f>Modèle!K13</f>
        <v>23620.65312100568</v>
      </c>
      <c r="L13" s="115">
        <f>Modèle!L13</f>
        <v>24093.06618342579</v>
      </c>
      <c r="M13" s="115">
        <f>Modèle!M13</f>
        <v>26984.234125436888</v>
      </c>
      <c r="N13" s="115">
        <f>Modèle!N13</f>
        <v>27523.918807945625</v>
      </c>
      <c r="O13" s="115">
        <f>Modèle!O13</f>
        <v>28074.39718410454</v>
      </c>
      <c r="P13" s="115">
        <f>Modèle!P13</f>
        <v>28635.88512778663</v>
      </c>
      <c r="Q13" s="115">
        <f>Modèle!Q13</f>
        <v>29208.602830342363</v>
      </c>
      <c r="R13" s="115">
        <f>Modèle!R13</f>
        <v>29792.77488694921</v>
      </c>
      <c r="S13" s="115">
        <f>Modèle!S13</f>
        <v>30388.630384688193</v>
      </c>
      <c r="T13" s="115">
        <f>Modèle!T13</f>
        <v>30996.402992381958</v>
      </c>
      <c r="U13" s="115">
        <f>Modèle!U13</f>
        <v>31616.331052229598</v>
      </c>
      <c r="V13" s="115">
        <f>Modèle!V13</f>
        <v>32248.65767327419</v>
      </c>
      <c r="W13" s="115">
        <f>Modèle!W13</f>
        <v>32893.630826739674</v>
      </c>
      <c r="X13" s="115">
        <f>Modèle!X13</f>
        <v>33551.503443274465</v>
      </c>
      <c r="Y13" s="115">
        <f>Modèle!Y13</f>
        <v>34222.533512139955</v>
      </c>
      <c r="Z13" s="115">
        <f>Modèle!Z13</f>
        <v>34906.98418238275</v>
      </c>
      <c r="AA13" s="115">
        <f>Modèle!AA13</f>
        <v>35605.12386603041</v>
      </c>
      <c r="AB13" s="115">
        <f>Modèle!AB13</f>
        <v>36317.226343351016</v>
      </c>
      <c r="AC13" s="115">
        <f>Modèle!AC13</f>
        <v>37043.570870218035</v>
      </c>
      <c r="AD13" s="115">
        <f>Modèle!AD13</f>
        <v>37784.4422876224</v>
      </c>
      <c r="AE13" s="115">
        <f>Modèle!AE13</f>
        <v>38540.131133374845</v>
      </c>
      <c r="AF13" s="115">
        <f>Modèle!AF13</f>
        <v>39310.933756042345</v>
      </c>
      <c r="AG13" s="115">
        <f>Modèle!AG13</f>
        <v>44028.24580676743</v>
      </c>
      <c r="AH13" s="115">
        <f>Modèle!AH13</f>
        <v>44908.81072290278</v>
      </c>
      <c r="AI13" s="115">
        <f>Modèle!AI13</f>
        <v>45806.98693736084</v>
      </c>
      <c r="AJ13" s="115">
        <f>Modèle!AJ13</f>
        <v>46723.126676108055</v>
      </c>
      <c r="AK13" s="115">
        <f>Modèle!AK13</f>
        <v>47657.58920963022</v>
      </c>
      <c r="AL13" s="115">
        <f>Modèle!AL13</f>
        <v>48610.74099382282</v>
      </c>
      <c r="AM13" s="115">
        <f>Modèle!AM13</f>
        <v>49582.95581369928</v>
      </c>
      <c r="AN13" s="115">
        <f>Modèle!AN13</f>
        <v>50574.614929973264</v>
      </c>
      <c r="AO13" s="115">
        <f>Modèle!AO13</f>
        <v>51586.10722857273</v>
      </c>
      <c r="AP13" s="115">
        <f>Modèle!AP13</f>
        <v>52617.82937314418</v>
      </c>
      <c r="AQ13" s="115">
        <f>Modèle!AQ13</f>
        <v>53670.185960607065</v>
      </c>
      <c r="AR13" s="115">
        <f>Modèle!AR13</f>
        <v>54743.589679819204</v>
      </c>
      <c r="AS13" s="115">
        <f>Modèle!AS13</f>
        <v>0</v>
      </c>
      <c r="AT13" s="115">
        <f>Modèle!AT13</f>
        <v>0</v>
      </c>
      <c r="AU13" s="115">
        <f>Modèle!AU13</f>
        <v>0</v>
      </c>
      <c r="AV13" s="115">
        <f>Modèle!AV13</f>
        <v>0</v>
      </c>
      <c r="AW13" s="115">
        <f>Modèle!AW13</f>
        <v>0</v>
      </c>
      <c r="AX13" s="115">
        <f>Modèle!AX13</f>
        <v>0</v>
      </c>
      <c r="AY13" s="115">
        <f>Modèle!AY13</f>
        <v>0</v>
      </c>
      <c r="AZ13" s="115">
        <f>Modèle!AZ13</f>
        <v>0</v>
      </c>
      <c r="BA13" s="115">
        <f>Modèle!BA13</f>
        <v>0</v>
      </c>
    </row>
    <row r="14" spans="2:53" ht="15">
      <c r="B14" s="114" t="s">
        <v>176</v>
      </c>
      <c r="C14" s="122">
        <f>IF(C13&lt;C8,98.5%,100%)</f>
        <v>0.985</v>
      </c>
      <c r="D14" s="122">
        <f aca="true" t="shared" si="5" ref="D14:BA14">IF(D13&lt;D8,98.5%,100%)</f>
        <v>0.985</v>
      </c>
      <c r="E14" s="122">
        <f t="shared" si="5"/>
        <v>0.985</v>
      </c>
      <c r="F14" s="122">
        <f t="shared" si="5"/>
        <v>0.985</v>
      </c>
      <c r="G14" s="122">
        <f t="shared" si="5"/>
        <v>0.985</v>
      </c>
      <c r="H14" s="122">
        <f t="shared" si="5"/>
        <v>0.985</v>
      </c>
      <c r="I14" s="122">
        <f t="shared" si="5"/>
        <v>0.985</v>
      </c>
      <c r="J14" s="122">
        <f t="shared" si="5"/>
        <v>0.985</v>
      </c>
      <c r="K14" s="122">
        <f t="shared" si="5"/>
        <v>0.985</v>
      </c>
      <c r="L14" s="122">
        <f t="shared" si="5"/>
        <v>0.985</v>
      </c>
      <c r="M14" s="122">
        <f t="shared" si="5"/>
        <v>0.985</v>
      </c>
      <c r="N14" s="122">
        <f t="shared" si="5"/>
        <v>0.985</v>
      </c>
      <c r="O14" s="122">
        <f t="shared" si="5"/>
        <v>0.985</v>
      </c>
      <c r="P14" s="122">
        <f t="shared" si="5"/>
        <v>0.985</v>
      </c>
      <c r="Q14" s="122">
        <f t="shared" si="5"/>
        <v>0.985</v>
      </c>
      <c r="R14" s="122">
        <f t="shared" si="5"/>
        <v>0.985</v>
      </c>
      <c r="S14" s="122">
        <f t="shared" si="5"/>
        <v>0.985</v>
      </c>
      <c r="T14" s="122">
        <f t="shared" si="5"/>
        <v>0.985</v>
      </c>
      <c r="U14" s="122">
        <f t="shared" si="5"/>
        <v>0.985</v>
      </c>
      <c r="V14" s="122">
        <f t="shared" si="5"/>
        <v>0.985</v>
      </c>
      <c r="W14" s="122">
        <f t="shared" si="5"/>
        <v>0.985</v>
      </c>
      <c r="X14" s="122">
        <f t="shared" si="5"/>
        <v>0.985</v>
      </c>
      <c r="Y14" s="122">
        <f t="shared" si="5"/>
        <v>0.985</v>
      </c>
      <c r="Z14" s="122">
        <f t="shared" si="5"/>
        <v>0.985</v>
      </c>
      <c r="AA14" s="122">
        <f t="shared" si="5"/>
        <v>0.985</v>
      </c>
      <c r="AB14" s="122">
        <f t="shared" si="5"/>
        <v>0.985</v>
      </c>
      <c r="AC14" s="122">
        <f t="shared" si="5"/>
        <v>0.985</v>
      </c>
      <c r="AD14" s="122">
        <f t="shared" si="5"/>
        <v>0.985</v>
      </c>
      <c r="AE14" s="122">
        <f t="shared" si="5"/>
        <v>0.985</v>
      </c>
      <c r="AF14" s="122">
        <f t="shared" si="5"/>
        <v>0.985</v>
      </c>
      <c r="AG14" s="122">
        <f t="shared" si="5"/>
        <v>0.985</v>
      </c>
      <c r="AH14" s="122">
        <f t="shared" si="5"/>
        <v>0.985</v>
      </c>
      <c r="AI14" s="122">
        <f t="shared" si="5"/>
        <v>0.985</v>
      </c>
      <c r="AJ14" s="122">
        <f t="shared" si="5"/>
        <v>0.985</v>
      </c>
      <c r="AK14" s="122">
        <f t="shared" si="5"/>
        <v>0.985</v>
      </c>
      <c r="AL14" s="122">
        <f t="shared" si="5"/>
        <v>0.985</v>
      </c>
      <c r="AM14" s="122">
        <f t="shared" si="5"/>
        <v>0.985</v>
      </c>
      <c r="AN14" s="122">
        <f t="shared" si="5"/>
        <v>0.985</v>
      </c>
      <c r="AO14" s="122">
        <f t="shared" si="5"/>
        <v>0.985</v>
      </c>
      <c r="AP14" s="122">
        <f t="shared" si="5"/>
        <v>0.985</v>
      </c>
      <c r="AQ14" s="122">
        <f t="shared" si="5"/>
        <v>0.985</v>
      </c>
      <c r="AR14" s="122">
        <f t="shared" si="5"/>
        <v>0.985</v>
      </c>
      <c r="AS14" s="122">
        <f t="shared" si="5"/>
        <v>0.985</v>
      </c>
      <c r="AT14" s="122">
        <f t="shared" si="5"/>
        <v>0.985</v>
      </c>
      <c r="AU14" s="122">
        <f t="shared" si="5"/>
        <v>0.985</v>
      </c>
      <c r="AV14" s="122">
        <f t="shared" si="5"/>
        <v>0.985</v>
      </c>
      <c r="AW14" s="122">
        <f t="shared" si="5"/>
        <v>0.985</v>
      </c>
      <c r="AX14" s="122">
        <f t="shared" si="5"/>
        <v>0.985</v>
      </c>
      <c r="AY14" s="122">
        <f t="shared" si="5"/>
        <v>0.985</v>
      </c>
      <c r="AZ14" s="122">
        <f t="shared" si="5"/>
        <v>0.985</v>
      </c>
      <c r="BA14" s="122">
        <f t="shared" si="5"/>
        <v>0.985</v>
      </c>
    </row>
    <row r="15" spans="2:53" ht="15">
      <c r="B15" s="114" t="s">
        <v>179</v>
      </c>
      <c r="C15" s="115">
        <f>C14*C13</f>
        <v>19857.6</v>
      </c>
      <c r="D15" s="115">
        <f aca="true" t="shared" si="6" ref="D15:BA15">D14*D13</f>
        <v>20254.752</v>
      </c>
      <c r="E15" s="115">
        <f t="shared" si="6"/>
        <v>20659.84704</v>
      </c>
      <c r="F15" s="115">
        <f t="shared" si="6"/>
        <v>21073.0439808</v>
      </c>
      <c r="G15" s="115">
        <f t="shared" si="6"/>
        <v>21494.504860416004</v>
      </c>
      <c r="H15" s="115">
        <f t="shared" si="6"/>
        <v>21924.39495762432</v>
      </c>
      <c r="I15" s="115">
        <f t="shared" si="6"/>
        <v>22362.88285677681</v>
      </c>
      <c r="J15" s="115">
        <f t="shared" si="6"/>
        <v>22810.140513912345</v>
      </c>
      <c r="K15" s="115">
        <f t="shared" si="6"/>
        <v>23266.34332419059</v>
      </c>
      <c r="L15" s="115">
        <f t="shared" si="6"/>
        <v>23731.670190674406</v>
      </c>
      <c r="M15" s="115">
        <f t="shared" si="6"/>
        <v>26579.470613555335</v>
      </c>
      <c r="N15" s="115">
        <f t="shared" si="6"/>
        <v>27111.060025826442</v>
      </c>
      <c r="O15" s="115">
        <f t="shared" si="6"/>
        <v>27653.28122634297</v>
      </c>
      <c r="P15" s="115">
        <f t="shared" si="6"/>
        <v>28206.34685086983</v>
      </c>
      <c r="Q15" s="115">
        <f t="shared" si="6"/>
        <v>28770.473787887226</v>
      </c>
      <c r="R15" s="115">
        <f t="shared" si="6"/>
        <v>29345.88326364497</v>
      </c>
      <c r="S15" s="115">
        <f t="shared" si="6"/>
        <v>29932.80092891787</v>
      </c>
      <c r="T15" s="115">
        <f t="shared" si="6"/>
        <v>30531.45694749623</v>
      </c>
      <c r="U15" s="115">
        <f t="shared" si="6"/>
        <v>31142.086086446154</v>
      </c>
      <c r="V15" s="115">
        <f t="shared" si="6"/>
        <v>31764.927808175074</v>
      </c>
      <c r="W15" s="115">
        <f t="shared" si="6"/>
        <v>32400.226364338578</v>
      </c>
      <c r="X15" s="115">
        <f t="shared" si="6"/>
        <v>33048.230891625346</v>
      </c>
      <c r="Y15" s="115">
        <f t="shared" si="6"/>
        <v>33709.19550945785</v>
      </c>
      <c r="Z15" s="115">
        <f t="shared" si="6"/>
        <v>34383.37941964701</v>
      </c>
      <c r="AA15" s="115">
        <f t="shared" si="6"/>
        <v>35071.047008039954</v>
      </c>
      <c r="AB15" s="115">
        <f t="shared" si="6"/>
        <v>35772.46794820075</v>
      </c>
      <c r="AC15" s="115">
        <f t="shared" si="6"/>
        <v>36487.91730716476</v>
      </c>
      <c r="AD15" s="115">
        <f t="shared" si="6"/>
        <v>37217.67565330806</v>
      </c>
      <c r="AE15" s="115">
        <f t="shared" si="6"/>
        <v>37962.029166374225</v>
      </c>
      <c r="AF15" s="115">
        <f t="shared" si="6"/>
        <v>38721.26974970171</v>
      </c>
      <c r="AG15" s="115">
        <f t="shared" si="6"/>
        <v>43367.82211966592</v>
      </c>
      <c r="AH15" s="115">
        <f t="shared" si="6"/>
        <v>44235.17856205924</v>
      </c>
      <c r="AI15" s="115">
        <f t="shared" si="6"/>
        <v>45119.88213330042</v>
      </c>
      <c r="AJ15" s="115">
        <f t="shared" si="6"/>
        <v>46022.27977596643</v>
      </c>
      <c r="AK15" s="115">
        <f t="shared" si="6"/>
        <v>46942.725371485765</v>
      </c>
      <c r="AL15" s="115">
        <f t="shared" si="6"/>
        <v>47881.57987891548</v>
      </c>
      <c r="AM15" s="115">
        <f t="shared" si="6"/>
        <v>48839.21147649379</v>
      </c>
      <c r="AN15" s="115">
        <f t="shared" si="6"/>
        <v>49815.99570602366</v>
      </c>
      <c r="AO15" s="115">
        <f t="shared" si="6"/>
        <v>50812.31562014414</v>
      </c>
      <c r="AP15" s="115">
        <f t="shared" si="6"/>
        <v>51828.56193254702</v>
      </c>
      <c r="AQ15" s="115">
        <f t="shared" si="6"/>
        <v>52865.13317119796</v>
      </c>
      <c r="AR15" s="115">
        <f t="shared" si="6"/>
        <v>53922.435834621916</v>
      </c>
      <c r="AS15" s="115">
        <f t="shared" si="6"/>
        <v>0</v>
      </c>
      <c r="AT15" s="115">
        <f t="shared" si="6"/>
        <v>0</v>
      </c>
      <c r="AU15" s="115">
        <f t="shared" si="6"/>
        <v>0</v>
      </c>
      <c r="AV15" s="115">
        <f t="shared" si="6"/>
        <v>0</v>
      </c>
      <c r="AW15" s="115">
        <f t="shared" si="6"/>
        <v>0</v>
      </c>
      <c r="AX15" s="115">
        <f t="shared" si="6"/>
        <v>0</v>
      </c>
      <c r="AY15" s="115">
        <f t="shared" si="6"/>
        <v>0</v>
      </c>
      <c r="AZ15" s="115">
        <f t="shared" si="6"/>
        <v>0</v>
      </c>
      <c r="BA15" s="115">
        <f t="shared" si="6"/>
        <v>0</v>
      </c>
    </row>
    <row r="16" spans="2:53" ht="15">
      <c r="B16" s="114" t="s">
        <v>180</v>
      </c>
      <c r="C16" s="115">
        <f>C10*C15</f>
        <v>1489.32</v>
      </c>
      <c r="D16" s="115">
        <f aca="true" t="shared" si="7" ref="D16:BA16">D10*D15</f>
        <v>1519.1064</v>
      </c>
      <c r="E16" s="115">
        <f t="shared" si="7"/>
        <v>1549.488528</v>
      </c>
      <c r="F16" s="115">
        <f t="shared" si="7"/>
        <v>1580.47829856</v>
      </c>
      <c r="G16" s="115">
        <f t="shared" si="7"/>
        <v>1612.0878645312002</v>
      </c>
      <c r="H16" s="115">
        <f t="shared" si="7"/>
        <v>1644.329621821824</v>
      </c>
      <c r="I16" s="115">
        <f t="shared" si="7"/>
        <v>1677.2162142582608</v>
      </c>
      <c r="J16" s="115">
        <f t="shared" si="7"/>
        <v>1710.7605385434258</v>
      </c>
      <c r="K16" s="115">
        <f t="shared" si="7"/>
        <v>1744.9757493142943</v>
      </c>
      <c r="L16" s="115">
        <f t="shared" si="7"/>
        <v>1779.8752643005803</v>
      </c>
      <c r="M16" s="115">
        <f t="shared" si="7"/>
        <v>1993.46029601665</v>
      </c>
      <c r="N16" s="115">
        <f t="shared" si="7"/>
        <v>2033.329501936983</v>
      </c>
      <c r="O16" s="115">
        <f t="shared" si="7"/>
        <v>2073.9960919757227</v>
      </c>
      <c r="P16" s="115">
        <f t="shared" si="7"/>
        <v>2115.4760138152374</v>
      </c>
      <c r="Q16" s="115">
        <f t="shared" si="7"/>
        <v>2157.7855340915416</v>
      </c>
      <c r="R16" s="115">
        <f t="shared" si="7"/>
        <v>2200.9412447733725</v>
      </c>
      <c r="S16" s="115">
        <f t="shared" si="7"/>
        <v>2244.9600696688403</v>
      </c>
      <c r="T16" s="115">
        <f t="shared" si="7"/>
        <v>2289.859271062217</v>
      </c>
      <c r="U16" s="115">
        <f t="shared" si="7"/>
        <v>2335.6564564834616</v>
      </c>
      <c r="V16" s="115">
        <f t="shared" si="7"/>
        <v>2382.3695856131303</v>
      </c>
      <c r="W16" s="115">
        <f t="shared" si="7"/>
        <v>2430.0169773253933</v>
      </c>
      <c r="X16" s="115">
        <f t="shared" si="7"/>
        <v>2478.617316871901</v>
      </c>
      <c r="Y16" s="115">
        <f t="shared" si="7"/>
        <v>2528.189663209339</v>
      </c>
      <c r="Z16" s="115">
        <f t="shared" si="7"/>
        <v>2578.7534564735256</v>
      </c>
      <c r="AA16" s="115">
        <f t="shared" si="7"/>
        <v>2630.3285256029963</v>
      </c>
      <c r="AB16" s="115">
        <f t="shared" si="7"/>
        <v>2682.9350961150562</v>
      </c>
      <c r="AC16" s="115">
        <f t="shared" si="7"/>
        <v>2736.593798037357</v>
      </c>
      <c r="AD16" s="115">
        <f t="shared" si="7"/>
        <v>2791.325673998105</v>
      </c>
      <c r="AE16" s="115">
        <f t="shared" si="7"/>
        <v>2847.152187478067</v>
      </c>
      <c r="AF16" s="115">
        <f t="shared" si="7"/>
        <v>2904.095231227628</v>
      </c>
      <c r="AG16" s="115">
        <f t="shared" si="7"/>
        <v>3252.586658974944</v>
      </c>
      <c r="AH16" s="115">
        <f t="shared" si="7"/>
        <v>3317.638392154443</v>
      </c>
      <c r="AI16" s="115">
        <f t="shared" si="7"/>
        <v>3383.9911599975317</v>
      </c>
      <c r="AJ16" s="115">
        <f t="shared" si="7"/>
        <v>3451.670983197482</v>
      </c>
      <c r="AK16" s="115">
        <f t="shared" si="7"/>
        <v>3520.7044028614323</v>
      </c>
      <c r="AL16" s="115">
        <f t="shared" si="7"/>
        <v>3591.118490918661</v>
      </c>
      <c r="AM16" s="115">
        <f t="shared" si="7"/>
        <v>3662.9408607370337</v>
      </c>
      <c r="AN16" s="115">
        <f t="shared" si="7"/>
        <v>3736.1996779517744</v>
      </c>
      <c r="AO16" s="115">
        <f t="shared" si="7"/>
        <v>3810.92367151081</v>
      </c>
      <c r="AP16" s="115">
        <f t="shared" si="7"/>
        <v>3887.1421449410263</v>
      </c>
      <c r="AQ16" s="115">
        <f t="shared" si="7"/>
        <v>3964.884987839847</v>
      </c>
      <c r="AR16" s="115">
        <f t="shared" si="7"/>
        <v>4044.1826875966435</v>
      </c>
      <c r="AS16" s="115">
        <f t="shared" si="7"/>
        <v>0</v>
      </c>
      <c r="AT16" s="115">
        <f t="shared" si="7"/>
        <v>0</v>
      </c>
      <c r="AU16" s="115">
        <f t="shared" si="7"/>
        <v>0</v>
      </c>
      <c r="AV16" s="115">
        <f t="shared" si="7"/>
        <v>0</v>
      </c>
      <c r="AW16" s="115">
        <f t="shared" si="7"/>
        <v>0</v>
      </c>
      <c r="AX16" s="115">
        <f t="shared" si="7"/>
        <v>0</v>
      </c>
      <c r="AY16" s="115">
        <f t="shared" si="7"/>
        <v>0</v>
      </c>
      <c r="AZ16" s="115">
        <f t="shared" si="7"/>
        <v>0</v>
      </c>
      <c r="BA16" s="115">
        <f t="shared" si="7"/>
        <v>0</v>
      </c>
    </row>
    <row r="17" spans="2:53" ht="15">
      <c r="B17" s="114" t="s">
        <v>181</v>
      </c>
      <c r="C17" s="115">
        <f>C15*C11</f>
        <v>99.288</v>
      </c>
      <c r="D17" s="115">
        <f aca="true" t="shared" si="8" ref="D17:BA17">D15*D11</f>
        <v>101.27376000000001</v>
      </c>
      <c r="E17" s="115">
        <f t="shared" si="8"/>
        <v>103.2992352</v>
      </c>
      <c r="F17" s="115">
        <f t="shared" si="8"/>
        <v>105.36521990400001</v>
      </c>
      <c r="G17" s="115">
        <f t="shared" si="8"/>
        <v>107.47252430208002</v>
      </c>
      <c r="H17" s="115">
        <f t="shared" si="8"/>
        <v>109.6219747881216</v>
      </c>
      <c r="I17" s="115">
        <f t="shared" si="8"/>
        <v>111.81441428388405</v>
      </c>
      <c r="J17" s="115">
        <f t="shared" si="8"/>
        <v>114.05070256956174</v>
      </c>
      <c r="K17" s="115">
        <f t="shared" si="8"/>
        <v>116.33171662095296</v>
      </c>
      <c r="L17" s="115">
        <f t="shared" si="8"/>
        <v>118.65835095337204</v>
      </c>
      <c r="M17" s="115">
        <f t="shared" si="8"/>
        <v>132.8973530677767</v>
      </c>
      <c r="N17" s="115">
        <f t="shared" si="8"/>
        <v>135.5553001291322</v>
      </c>
      <c r="O17" s="115">
        <f t="shared" si="8"/>
        <v>138.26640613171486</v>
      </c>
      <c r="P17" s="115">
        <f t="shared" si="8"/>
        <v>141.03173425434917</v>
      </c>
      <c r="Q17" s="115">
        <f t="shared" si="8"/>
        <v>143.85236893943613</v>
      </c>
      <c r="R17" s="115">
        <f t="shared" si="8"/>
        <v>146.72941631822485</v>
      </c>
      <c r="S17" s="115">
        <f t="shared" si="8"/>
        <v>149.66400464458934</v>
      </c>
      <c r="T17" s="115">
        <f t="shared" si="8"/>
        <v>152.65728473748115</v>
      </c>
      <c r="U17" s="115">
        <f t="shared" si="8"/>
        <v>155.71043043223077</v>
      </c>
      <c r="V17" s="115">
        <f t="shared" si="8"/>
        <v>158.82463904087538</v>
      </c>
      <c r="W17" s="115">
        <f t="shared" si="8"/>
        <v>162.0011318216929</v>
      </c>
      <c r="X17" s="115">
        <f t="shared" si="8"/>
        <v>165.24115445812674</v>
      </c>
      <c r="Y17" s="115">
        <f t="shared" si="8"/>
        <v>168.54597754728925</v>
      </c>
      <c r="Z17" s="115">
        <f t="shared" si="8"/>
        <v>171.91689709823507</v>
      </c>
      <c r="AA17" s="115">
        <f t="shared" si="8"/>
        <v>175.35523504019977</v>
      </c>
      <c r="AB17" s="115">
        <f t="shared" si="8"/>
        <v>178.86233974100375</v>
      </c>
      <c r="AC17" s="115">
        <f t="shared" si="8"/>
        <v>182.4395865358238</v>
      </c>
      <c r="AD17" s="115">
        <f t="shared" si="8"/>
        <v>186.0883782665403</v>
      </c>
      <c r="AE17" s="115">
        <f t="shared" si="8"/>
        <v>189.81014583187113</v>
      </c>
      <c r="AF17" s="115">
        <f t="shared" si="8"/>
        <v>193.60634874850854</v>
      </c>
      <c r="AG17" s="115">
        <f t="shared" si="8"/>
        <v>216.83911059832963</v>
      </c>
      <c r="AH17" s="115">
        <f t="shared" si="8"/>
        <v>221.1758928102962</v>
      </c>
      <c r="AI17" s="115">
        <f t="shared" si="8"/>
        <v>225.5994106665021</v>
      </c>
      <c r="AJ17" s="115">
        <f t="shared" si="8"/>
        <v>230.11139887983217</v>
      </c>
      <c r="AK17" s="115">
        <f t="shared" si="8"/>
        <v>234.71362685742884</v>
      </c>
      <c r="AL17" s="115">
        <f t="shared" si="8"/>
        <v>239.4078993945774</v>
      </c>
      <c r="AM17" s="115">
        <f t="shared" si="8"/>
        <v>244.19605738246895</v>
      </c>
      <c r="AN17" s="115">
        <f t="shared" si="8"/>
        <v>249.07997853011832</v>
      </c>
      <c r="AO17" s="115">
        <f t="shared" si="8"/>
        <v>254.0615781007207</v>
      </c>
      <c r="AP17" s="115">
        <f t="shared" si="8"/>
        <v>259.1428096627351</v>
      </c>
      <c r="AQ17" s="115">
        <f t="shared" si="8"/>
        <v>264.32566585598977</v>
      </c>
      <c r="AR17" s="115">
        <f t="shared" si="8"/>
        <v>269.6121791731096</v>
      </c>
      <c r="AS17" s="115">
        <f t="shared" si="8"/>
        <v>0</v>
      </c>
      <c r="AT17" s="115">
        <f t="shared" si="8"/>
        <v>0</v>
      </c>
      <c r="AU17" s="115">
        <f t="shared" si="8"/>
        <v>0</v>
      </c>
      <c r="AV17" s="115">
        <f t="shared" si="8"/>
        <v>0</v>
      </c>
      <c r="AW17" s="115">
        <f t="shared" si="8"/>
        <v>0</v>
      </c>
      <c r="AX17" s="115">
        <f t="shared" si="8"/>
        <v>0</v>
      </c>
      <c r="AY17" s="115">
        <f t="shared" si="8"/>
        <v>0</v>
      </c>
      <c r="AZ17" s="115">
        <f t="shared" si="8"/>
        <v>0</v>
      </c>
      <c r="BA17" s="115">
        <f t="shared" si="8"/>
        <v>0</v>
      </c>
    </row>
    <row r="18" spans="3:53" ht="15">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row>
    <row r="19" spans="2:53" ht="15">
      <c r="B19" s="114" t="s">
        <v>188</v>
      </c>
      <c r="C19" s="122">
        <v>0.051</v>
      </c>
      <c r="D19" s="122">
        <f>C19</f>
        <v>0.051</v>
      </c>
      <c r="E19" s="122">
        <f aca="true" t="shared" si="9" ref="E19:AY19">D19</f>
        <v>0.051</v>
      </c>
      <c r="F19" s="122">
        <f t="shared" si="9"/>
        <v>0.051</v>
      </c>
      <c r="G19" s="122">
        <f t="shared" si="9"/>
        <v>0.051</v>
      </c>
      <c r="H19" s="122">
        <f t="shared" si="9"/>
        <v>0.051</v>
      </c>
      <c r="I19" s="122">
        <f t="shared" si="9"/>
        <v>0.051</v>
      </c>
      <c r="J19" s="122">
        <f t="shared" si="9"/>
        <v>0.051</v>
      </c>
      <c r="K19" s="122">
        <f t="shared" si="9"/>
        <v>0.051</v>
      </c>
      <c r="L19" s="122">
        <f t="shared" si="9"/>
        <v>0.051</v>
      </c>
      <c r="M19" s="122">
        <f t="shared" si="9"/>
        <v>0.051</v>
      </c>
      <c r="N19" s="122">
        <f t="shared" si="9"/>
        <v>0.051</v>
      </c>
      <c r="O19" s="122">
        <f t="shared" si="9"/>
        <v>0.051</v>
      </c>
      <c r="P19" s="122">
        <f t="shared" si="9"/>
        <v>0.051</v>
      </c>
      <c r="Q19" s="122">
        <f t="shared" si="9"/>
        <v>0.051</v>
      </c>
      <c r="R19" s="122">
        <f t="shared" si="9"/>
        <v>0.051</v>
      </c>
      <c r="S19" s="122">
        <f t="shared" si="9"/>
        <v>0.051</v>
      </c>
      <c r="T19" s="122">
        <f t="shared" si="9"/>
        <v>0.051</v>
      </c>
      <c r="U19" s="122">
        <f t="shared" si="9"/>
        <v>0.051</v>
      </c>
      <c r="V19" s="122">
        <f t="shared" si="9"/>
        <v>0.051</v>
      </c>
      <c r="W19" s="122">
        <f t="shared" si="9"/>
        <v>0.051</v>
      </c>
      <c r="X19" s="122">
        <f t="shared" si="9"/>
        <v>0.051</v>
      </c>
      <c r="Y19" s="122">
        <f t="shared" si="9"/>
        <v>0.051</v>
      </c>
      <c r="Z19" s="122">
        <f t="shared" si="9"/>
        <v>0.051</v>
      </c>
      <c r="AA19" s="122">
        <f t="shared" si="9"/>
        <v>0.051</v>
      </c>
      <c r="AB19" s="122">
        <f t="shared" si="9"/>
        <v>0.051</v>
      </c>
      <c r="AC19" s="122">
        <f t="shared" si="9"/>
        <v>0.051</v>
      </c>
      <c r="AD19" s="122">
        <f t="shared" si="9"/>
        <v>0.051</v>
      </c>
      <c r="AE19" s="122">
        <f t="shared" si="9"/>
        <v>0.051</v>
      </c>
      <c r="AF19" s="122">
        <f t="shared" si="9"/>
        <v>0.051</v>
      </c>
      <c r="AG19" s="122">
        <f t="shared" si="9"/>
        <v>0.051</v>
      </c>
      <c r="AH19" s="122">
        <f t="shared" si="9"/>
        <v>0.051</v>
      </c>
      <c r="AI19" s="122">
        <f t="shared" si="9"/>
        <v>0.051</v>
      </c>
      <c r="AJ19" s="122">
        <f t="shared" si="9"/>
        <v>0.051</v>
      </c>
      <c r="AK19" s="122">
        <f t="shared" si="9"/>
        <v>0.051</v>
      </c>
      <c r="AL19" s="122">
        <f t="shared" si="9"/>
        <v>0.051</v>
      </c>
      <c r="AM19" s="122">
        <f t="shared" si="9"/>
        <v>0.051</v>
      </c>
      <c r="AN19" s="122">
        <f t="shared" si="9"/>
        <v>0.051</v>
      </c>
      <c r="AO19" s="122">
        <f t="shared" si="9"/>
        <v>0.051</v>
      </c>
      <c r="AP19" s="122">
        <f t="shared" si="9"/>
        <v>0.051</v>
      </c>
      <c r="AQ19" s="122">
        <f t="shared" si="9"/>
        <v>0.051</v>
      </c>
      <c r="AR19" s="122">
        <f t="shared" si="9"/>
        <v>0.051</v>
      </c>
      <c r="AS19" s="122">
        <f t="shared" si="9"/>
        <v>0.051</v>
      </c>
      <c r="AT19" s="122">
        <f t="shared" si="9"/>
        <v>0.051</v>
      </c>
      <c r="AU19" s="122">
        <f t="shared" si="9"/>
        <v>0.051</v>
      </c>
      <c r="AV19" s="122">
        <f t="shared" si="9"/>
        <v>0.051</v>
      </c>
      <c r="AW19" s="122">
        <f t="shared" si="9"/>
        <v>0.051</v>
      </c>
      <c r="AX19" s="122">
        <f t="shared" si="9"/>
        <v>0.051</v>
      </c>
      <c r="AY19" s="122">
        <f t="shared" si="9"/>
        <v>0.051</v>
      </c>
      <c r="AZ19" s="122">
        <v>0.051</v>
      </c>
      <c r="BA19" s="122">
        <v>0.051</v>
      </c>
    </row>
    <row r="20" spans="2:53" ht="15">
      <c r="B20" s="114" t="s">
        <v>189</v>
      </c>
      <c r="C20" s="115">
        <f>C19*C15</f>
        <v>1012.7375999999998</v>
      </c>
      <c r="D20" s="115">
        <f aca="true" t="shared" si="10" ref="D20:BA20">D19*D15</f>
        <v>1032.992352</v>
      </c>
      <c r="E20" s="115">
        <f t="shared" si="10"/>
        <v>1053.65219904</v>
      </c>
      <c r="F20" s="115">
        <f t="shared" si="10"/>
        <v>1074.7252430208</v>
      </c>
      <c r="G20" s="115">
        <f t="shared" si="10"/>
        <v>1096.219747881216</v>
      </c>
      <c r="H20" s="115">
        <f t="shared" si="10"/>
        <v>1118.1441428388403</v>
      </c>
      <c r="I20" s="115">
        <f t="shared" si="10"/>
        <v>1140.5070256956174</v>
      </c>
      <c r="J20" s="115">
        <f t="shared" si="10"/>
        <v>1163.3171662095294</v>
      </c>
      <c r="K20" s="115">
        <f t="shared" si="10"/>
        <v>1186.5835095337202</v>
      </c>
      <c r="L20" s="115">
        <f t="shared" si="10"/>
        <v>1210.3151797243945</v>
      </c>
      <c r="M20" s="115">
        <f t="shared" si="10"/>
        <v>1355.553001291322</v>
      </c>
      <c r="N20" s="115">
        <f t="shared" si="10"/>
        <v>1382.6640613171485</v>
      </c>
      <c r="O20" s="115">
        <f t="shared" si="10"/>
        <v>1410.3173425434913</v>
      </c>
      <c r="P20" s="115">
        <f t="shared" si="10"/>
        <v>1438.5236893943613</v>
      </c>
      <c r="Q20" s="115">
        <f t="shared" si="10"/>
        <v>1467.2941631822484</v>
      </c>
      <c r="R20" s="115">
        <f t="shared" si="10"/>
        <v>1496.6400464458934</v>
      </c>
      <c r="S20" s="115">
        <f t="shared" si="10"/>
        <v>1526.5728473748113</v>
      </c>
      <c r="T20" s="115">
        <f t="shared" si="10"/>
        <v>1557.1043043223076</v>
      </c>
      <c r="U20" s="115">
        <f t="shared" si="10"/>
        <v>1588.2463904087538</v>
      </c>
      <c r="V20" s="115">
        <f t="shared" si="10"/>
        <v>1620.0113182169287</v>
      </c>
      <c r="W20" s="115">
        <f t="shared" si="10"/>
        <v>1652.4115445812674</v>
      </c>
      <c r="X20" s="115">
        <f t="shared" si="10"/>
        <v>1685.4597754728925</v>
      </c>
      <c r="Y20" s="115">
        <f t="shared" si="10"/>
        <v>1719.1689709823504</v>
      </c>
      <c r="Z20" s="115">
        <f t="shared" si="10"/>
        <v>1753.5523504019975</v>
      </c>
      <c r="AA20" s="115">
        <f t="shared" si="10"/>
        <v>1788.6233974100376</v>
      </c>
      <c r="AB20" s="115">
        <f t="shared" si="10"/>
        <v>1824.395865358238</v>
      </c>
      <c r="AC20" s="115">
        <f t="shared" si="10"/>
        <v>1860.8837826654026</v>
      </c>
      <c r="AD20" s="115">
        <f t="shared" si="10"/>
        <v>1898.1014583187111</v>
      </c>
      <c r="AE20" s="115">
        <f t="shared" si="10"/>
        <v>1936.0634874850853</v>
      </c>
      <c r="AF20" s="115">
        <f t="shared" si="10"/>
        <v>1974.7847572347869</v>
      </c>
      <c r="AG20" s="115">
        <f t="shared" si="10"/>
        <v>2211.758928102962</v>
      </c>
      <c r="AH20" s="115">
        <f t="shared" si="10"/>
        <v>2255.9941066650213</v>
      </c>
      <c r="AI20" s="115">
        <f t="shared" si="10"/>
        <v>2301.1139887983213</v>
      </c>
      <c r="AJ20" s="115">
        <f t="shared" si="10"/>
        <v>2347.136268574288</v>
      </c>
      <c r="AK20" s="115">
        <f t="shared" si="10"/>
        <v>2394.078993945774</v>
      </c>
      <c r="AL20" s="115">
        <f t="shared" si="10"/>
        <v>2441.960573824689</v>
      </c>
      <c r="AM20" s="115">
        <f t="shared" si="10"/>
        <v>2490.799785301183</v>
      </c>
      <c r="AN20" s="115">
        <f t="shared" si="10"/>
        <v>2540.615781007207</v>
      </c>
      <c r="AO20" s="115">
        <f t="shared" si="10"/>
        <v>2591.428096627351</v>
      </c>
      <c r="AP20" s="115">
        <f t="shared" si="10"/>
        <v>2643.256658559898</v>
      </c>
      <c r="AQ20" s="115">
        <f t="shared" si="10"/>
        <v>2696.1217917310955</v>
      </c>
      <c r="AR20" s="115">
        <f t="shared" si="10"/>
        <v>2750.0442275657174</v>
      </c>
      <c r="AS20" s="115">
        <f t="shared" si="10"/>
        <v>0</v>
      </c>
      <c r="AT20" s="115">
        <f t="shared" si="10"/>
        <v>0</v>
      </c>
      <c r="AU20" s="115">
        <f t="shared" si="10"/>
        <v>0</v>
      </c>
      <c r="AV20" s="115">
        <f t="shared" si="10"/>
        <v>0</v>
      </c>
      <c r="AW20" s="115">
        <f t="shared" si="10"/>
        <v>0</v>
      </c>
      <c r="AX20" s="115">
        <f t="shared" si="10"/>
        <v>0</v>
      </c>
      <c r="AY20" s="115">
        <f t="shared" si="10"/>
        <v>0</v>
      </c>
      <c r="AZ20" s="115">
        <f t="shared" si="10"/>
        <v>0</v>
      </c>
      <c r="BA20" s="115">
        <f t="shared" si="10"/>
        <v>0</v>
      </c>
    </row>
    <row r="22" ht="15">
      <c r="B22" s="113" t="s">
        <v>184</v>
      </c>
    </row>
    <row r="24" spans="2:53" ht="15">
      <c r="B24" s="114" t="s">
        <v>190</v>
      </c>
      <c r="C24" s="122">
        <v>1</v>
      </c>
      <c r="D24" s="122">
        <f>C24</f>
        <v>1</v>
      </c>
      <c r="E24" s="122">
        <f aca="true" t="shared" si="11" ref="E24:BA24">D24</f>
        <v>1</v>
      </c>
      <c r="F24" s="122">
        <f t="shared" si="11"/>
        <v>1</v>
      </c>
      <c r="G24" s="122">
        <f t="shared" si="11"/>
        <v>1</v>
      </c>
      <c r="H24" s="122">
        <f t="shared" si="11"/>
        <v>1</v>
      </c>
      <c r="I24" s="122">
        <f t="shared" si="11"/>
        <v>1</v>
      </c>
      <c r="J24" s="122">
        <f t="shared" si="11"/>
        <v>1</v>
      </c>
      <c r="K24" s="122">
        <f t="shared" si="11"/>
        <v>1</v>
      </c>
      <c r="L24" s="122">
        <f t="shared" si="11"/>
        <v>1</v>
      </c>
      <c r="M24" s="122">
        <f t="shared" si="11"/>
        <v>1</v>
      </c>
      <c r="N24" s="122">
        <f t="shared" si="11"/>
        <v>1</v>
      </c>
      <c r="O24" s="122">
        <f t="shared" si="11"/>
        <v>1</v>
      </c>
      <c r="P24" s="122">
        <f t="shared" si="11"/>
        <v>1</v>
      </c>
      <c r="Q24" s="122">
        <f t="shared" si="11"/>
        <v>1</v>
      </c>
      <c r="R24" s="122">
        <f t="shared" si="11"/>
        <v>1</v>
      </c>
      <c r="S24" s="122">
        <f t="shared" si="11"/>
        <v>1</v>
      </c>
      <c r="T24" s="122">
        <f t="shared" si="11"/>
        <v>1</v>
      </c>
      <c r="U24" s="122">
        <f t="shared" si="11"/>
        <v>1</v>
      </c>
      <c r="V24" s="122">
        <f t="shared" si="11"/>
        <v>1</v>
      </c>
      <c r="W24" s="122">
        <f t="shared" si="11"/>
        <v>1</v>
      </c>
      <c r="X24" s="122">
        <f t="shared" si="11"/>
        <v>1</v>
      </c>
      <c r="Y24" s="122">
        <f t="shared" si="11"/>
        <v>1</v>
      </c>
      <c r="Z24" s="122">
        <f t="shared" si="11"/>
        <v>1</v>
      </c>
      <c r="AA24" s="122">
        <f t="shared" si="11"/>
        <v>1</v>
      </c>
      <c r="AB24" s="122">
        <f t="shared" si="11"/>
        <v>1</v>
      </c>
      <c r="AC24" s="122">
        <f t="shared" si="11"/>
        <v>1</v>
      </c>
      <c r="AD24" s="122">
        <f t="shared" si="11"/>
        <v>1</v>
      </c>
      <c r="AE24" s="122">
        <f t="shared" si="11"/>
        <v>1</v>
      </c>
      <c r="AF24" s="122">
        <f t="shared" si="11"/>
        <v>1</v>
      </c>
      <c r="AG24" s="122">
        <f t="shared" si="11"/>
        <v>1</v>
      </c>
      <c r="AH24" s="122">
        <f t="shared" si="11"/>
        <v>1</v>
      </c>
      <c r="AI24" s="122">
        <f t="shared" si="11"/>
        <v>1</v>
      </c>
      <c r="AJ24" s="122">
        <f t="shared" si="11"/>
        <v>1</v>
      </c>
      <c r="AK24" s="122">
        <f t="shared" si="11"/>
        <v>1</v>
      </c>
      <c r="AL24" s="122">
        <f t="shared" si="11"/>
        <v>1</v>
      </c>
      <c r="AM24" s="122">
        <f t="shared" si="11"/>
        <v>1</v>
      </c>
      <c r="AN24" s="122">
        <f t="shared" si="11"/>
        <v>1</v>
      </c>
      <c r="AO24" s="122">
        <f t="shared" si="11"/>
        <v>1</v>
      </c>
      <c r="AP24" s="122">
        <f t="shared" si="11"/>
        <v>1</v>
      </c>
      <c r="AQ24" s="122">
        <f t="shared" si="11"/>
        <v>1</v>
      </c>
      <c r="AR24" s="122">
        <f t="shared" si="11"/>
        <v>1</v>
      </c>
      <c r="AS24" s="122">
        <f t="shared" si="11"/>
        <v>1</v>
      </c>
      <c r="AT24" s="122">
        <f t="shared" si="11"/>
        <v>1</v>
      </c>
      <c r="AU24" s="122">
        <f t="shared" si="11"/>
        <v>1</v>
      </c>
      <c r="AV24" s="122">
        <f t="shared" si="11"/>
        <v>1</v>
      </c>
      <c r="AW24" s="122">
        <f t="shared" si="11"/>
        <v>1</v>
      </c>
      <c r="AX24" s="122">
        <f t="shared" si="11"/>
        <v>1</v>
      </c>
      <c r="AY24" s="122">
        <f t="shared" si="11"/>
        <v>1</v>
      </c>
      <c r="AZ24" s="122">
        <f t="shared" si="11"/>
        <v>1</v>
      </c>
      <c r="BA24" s="122">
        <f t="shared" si="11"/>
        <v>1</v>
      </c>
    </row>
    <row r="25" spans="2:53" ht="15">
      <c r="B25" s="114" t="s">
        <v>177</v>
      </c>
      <c r="C25" s="122">
        <v>0.075</v>
      </c>
      <c r="D25" s="122">
        <f>C25</f>
        <v>0.075</v>
      </c>
      <c r="E25" s="122">
        <f aca="true" t="shared" si="12" ref="E25:BA25">D25</f>
        <v>0.075</v>
      </c>
      <c r="F25" s="122">
        <f t="shared" si="12"/>
        <v>0.075</v>
      </c>
      <c r="G25" s="122">
        <f t="shared" si="12"/>
        <v>0.075</v>
      </c>
      <c r="H25" s="122">
        <f t="shared" si="12"/>
        <v>0.075</v>
      </c>
      <c r="I25" s="122">
        <f t="shared" si="12"/>
        <v>0.075</v>
      </c>
      <c r="J25" s="122">
        <f t="shared" si="12"/>
        <v>0.075</v>
      </c>
      <c r="K25" s="122">
        <f t="shared" si="12"/>
        <v>0.075</v>
      </c>
      <c r="L25" s="122">
        <f t="shared" si="12"/>
        <v>0.075</v>
      </c>
      <c r="M25" s="122">
        <f t="shared" si="12"/>
        <v>0.075</v>
      </c>
      <c r="N25" s="122">
        <f t="shared" si="12"/>
        <v>0.075</v>
      </c>
      <c r="O25" s="122">
        <f t="shared" si="12"/>
        <v>0.075</v>
      </c>
      <c r="P25" s="122">
        <f t="shared" si="12"/>
        <v>0.075</v>
      </c>
      <c r="Q25" s="122">
        <f t="shared" si="12"/>
        <v>0.075</v>
      </c>
      <c r="R25" s="122">
        <f t="shared" si="12"/>
        <v>0.075</v>
      </c>
      <c r="S25" s="122">
        <f t="shared" si="12"/>
        <v>0.075</v>
      </c>
      <c r="T25" s="122">
        <f t="shared" si="12"/>
        <v>0.075</v>
      </c>
      <c r="U25" s="122">
        <f t="shared" si="12"/>
        <v>0.075</v>
      </c>
      <c r="V25" s="122">
        <f t="shared" si="12"/>
        <v>0.075</v>
      </c>
      <c r="W25" s="122">
        <f t="shared" si="12"/>
        <v>0.075</v>
      </c>
      <c r="X25" s="122">
        <f t="shared" si="12"/>
        <v>0.075</v>
      </c>
      <c r="Y25" s="122">
        <f t="shared" si="12"/>
        <v>0.075</v>
      </c>
      <c r="Z25" s="122">
        <f t="shared" si="12"/>
        <v>0.075</v>
      </c>
      <c r="AA25" s="122">
        <f t="shared" si="12"/>
        <v>0.075</v>
      </c>
      <c r="AB25" s="122">
        <f t="shared" si="12"/>
        <v>0.075</v>
      </c>
      <c r="AC25" s="122">
        <f t="shared" si="12"/>
        <v>0.075</v>
      </c>
      <c r="AD25" s="122">
        <f t="shared" si="12"/>
        <v>0.075</v>
      </c>
      <c r="AE25" s="122">
        <f t="shared" si="12"/>
        <v>0.075</v>
      </c>
      <c r="AF25" s="122">
        <f t="shared" si="12"/>
        <v>0.075</v>
      </c>
      <c r="AG25" s="122">
        <f t="shared" si="12"/>
        <v>0.075</v>
      </c>
      <c r="AH25" s="122">
        <f t="shared" si="12"/>
        <v>0.075</v>
      </c>
      <c r="AI25" s="122">
        <f t="shared" si="12"/>
        <v>0.075</v>
      </c>
      <c r="AJ25" s="122">
        <f t="shared" si="12"/>
        <v>0.075</v>
      </c>
      <c r="AK25" s="122">
        <f t="shared" si="12"/>
        <v>0.075</v>
      </c>
      <c r="AL25" s="122">
        <f t="shared" si="12"/>
        <v>0.075</v>
      </c>
      <c r="AM25" s="122">
        <f t="shared" si="12"/>
        <v>0.075</v>
      </c>
      <c r="AN25" s="122">
        <f t="shared" si="12"/>
        <v>0.075</v>
      </c>
      <c r="AO25" s="122">
        <f t="shared" si="12"/>
        <v>0.075</v>
      </c>
      <c r="AP25" s="122">
        <f t="shared" si="12"/>
        <v>0.075</v>
      </c>
      <c r="AQ25" s="122">
        <f t="shared" si="12"/>
        <v>0.075</v>
      </c>
      <c r="AR25" s="122">
        <f t="shared" si="12"/>
        <v>0.075</v>
      </c>
      <c r="AS25" s="122">
        <f t="shared" si="12"/>
        <v>0.075</v>
      </c>
      <c r="AT25" s="122">
        <f t="shared" si="12"/>
        <v>0.075</v>
      </c>
      <c r="AU25" s="122">
        <f t="shared" si="12"/>
        <v>0.075</v>
      </c>
      <c r="AV25" s="122">
        <f t="shared" si="12"/>
        <v>0.075</v>
      </c>
      <c r="AW25" s="122">
        <f t="shared" si="12"/>
        <v>0.075</v>
      </c>
      <c r="AX25" s="122">
        <f t="shared" si="12"/>
        <v>0.075</v>
      </c>
      <c r="AY25" s="122">
        <f t="shared" si="12"/>
        <v>0.075</v>
      </c>
      <c r="AZ25" s="122">
        <f t="shared" si="12"/>
        <v>0.075</v>
      </c>
      <c r="BA25" s="122">
        <f t="shared" si="12"/>
        <v>0.075</v>
      </c>
    </row>
    <row r="26" spans="2:53" ht="15">
      <c r="B26" s="114" t="s">
        <v>178</v>
      </c>
      <c r="C26" s="122">
        <v>0.005</v>
      </c>
      <c r="D26" s="122">
        <f>C26</f>
        <v>0.005</v>
      </c>
      <c r="E26" s="122">
        <f aca="true" t="shared" si="13" ref="E26:BA26">D26</f>
        <v>0.005</v>
      </c>
      <c r="F26" s="122">
        <f t="shared" si="13"/>
        <v>0.005</v>
      </c>
      <c r="G26" s="122">
        <f t="shared" si="13"/>
        <v>0.005</v>
      </c>
      <c r="H26" s="122">
        <f t="shared" si="13"/>
        <v>0.005</v>
      </c>
      <c r="I26" s="122">
        <f t="shared" si="13"/>
        <v>0.005</v>
      </c>
      <c r="J26" s="122">
        <f t="shared" si="13"/>
        <v>0.005</v>
      </c>
      <c r="K26" s="122">
        <f t="shared" si="13"/>
        <v>0.005</v>
      </c>
      <c r="L26" s="122">
        <f t="shared" si="13"/>
        <v>0.005</v>
      </c>
      <c r="M26" s="122">
        <f t="shared" si="13"/>
        <v>0.005</v>
      </c>
      <c r="N26" s="122">
        <f t="shared" si="13"/>
        <v>0.005</v>
      </c>
      <c r="O26" s="122">
        <f t="shared" si="13"/>
        <v>0.005</v>
      </c>
      <c r="P26" s="122">
        <f t="shared" si="13"/>
        <v>0.005</v>
      </c>
      <c r="Q26" s="122">
        <f t="shared" si="13"/>
        <v>0.005</v>
      </c>
      <c r="R26" s="122">
        <f t="shared" si="13"/>
        <v>0.005</v>
      </c>
      <c r="S26" s="122">
        <f t="shared" si="13"/>
        <v>0.005</v>
      </c>
      <c r="T26" s="122">
        <f t="shared" si="13"/>
        <v>0.005</v>
      </c>
      <c r="U26" s="122">
        <f t="shared" si="13"/>
        <v>0.005</v>
      </c>
      <c r="V26" s="122">
        <f t="shared" si="13"/>
        <v>0.005</v>
      </c>
      <c r="W26" s="122">
        <f t="shared" si="13"/>
        <v>0.005</v>
      </c>
      <c r="X26" s="122">
        <f t="shared" si="13"/>
        <v>0.005</v>
      </c>
      <c r="Y26" s="122">
        <f t="shared" si="13"/>
        <v>0.005</v>
      </c>
      <c r="Z26" s="122">
        <f t="shared" si="13"/>
        <v>0.005</v>
      </c>
      <c r="AA26" s="122">
        <f t="shared" si="13"/>
        <v>0.005</v>
      </c>
      <c r="AB26" s="122">
        <f t="shared" si="13"/>
        <v>0.005</v>
      </c>
      <c r="AC26" s="122">
        <f t="shared" si="13"/>
        <v>0.005</v>
      </c>
      <c r="AD26" s="122">
        <f t="shared" si="13"/>
        <v>0.005</v>
      </c>
      <c r="AE26" s="122">
        <f t="shared" si="13"/>
        <v>0.005</v>
      </c>
      <c r="AF26" s="122">
        <f t="shared" si="13"/>
        <v>0.005</v>
      </c>
      <c r="AG26" s="122">
        <f t="shared" si="13"/>
        <v>0.005</v>
      </c>
      <c r="AH26" s="122">
        <f t="shared" si="13"/>
        <v>0.005</v>
      </c>
      <c r="AI26" s="122">
        <f t="shared" si="13"/>
        <v>0.005</v>
      </c>
      <c r="AJ26" s="122">
        <f t="shared" si="13"/>
        <v>0.005</v>
      </c>
      <c r="AK26" s="122">
        <f t="shared" si="13"/>
        <v>0.005</v>
      </c>
      <c r="AL26" s="122">
        <f t="shared" si="13"/>
        <v>0.005</v>
      </c>
      <c r="AM26" s="122">
        <f t="shared" si="13"/>
        <v>0.005</v>
      </c>
      <c r="AN26" s="122">
        <f t="shared" si="13"/>
        <v>0.005</v>
      </c>
      <c r="AO26" s="122">
        <f t="shared" si="13"/>
        <v>0.005</v>
      </c>
      <c r="AP26" s="122">
        <f t="shared" si="13"/>
        <v>0.005</v>
      </c>
      <c r="AQ26" s="122">
        <f t="shared" si="13"/>
        <v>0.005</v>
      </c>
      <c r="AR26" s="122">
        <f t="shared" si="13"/>
        <v>0.005</v>
      </c>
      <c r="AS26" s="122">
        <f t="shared" si="13"/>
        <v>0.005</v>
      </c>
      <c r="AT26" s="122">
        <f t="shared" si="13"/>
        <v>0.005</v>
      </c>
      <c r="AU26" s="122">
        <f t="shared" si="13"/>
        <v>0.005</v>
      </c>
      <c r="AV26" s="122">
        <f t="shared" si="13"/>
        <v>0.005</v>
      </c>
      <c r="AW26" s="122">
        <f t="shared" si="13"/>
        <v>0.005</v>
      </c>
      <c r="AX26" s="122">
        <f t="shared" si="13"/>
        <v>0.005</v>
      </c>
      <c r="AY26" s="122">
        <f t="shared" si="13"/>
        <v>0.005</v>
      </c>
      <c r="AZ26" s="122">
        <f t="shared" si="13"/>
        <v>0.005</v>
      </c>
      <c r="BA26" s="122">
        <f t="shared" si="13"/>
        <v>0.005</v>
      </c>
    </row>
    <row r="27" ht="15">
      <c r="C27" s="111"/>
    </row>
    <row r="28" spans="2:53" ht="15">
      <c r="B28" s="114" t="s">
        <v>97</v>
      </c>
      <c r="C28" s="115">
        <f>Modèle!C17</f>
        <v>0</v>
      </c>
      <c r="D28" s="115">
        <f>Modèle!D17</f>
        <v>0</v>
      </c>
      <c r="E28" s="115">
        <f>Modèle!E17</f>
        <v>0</v>
      </c>
      <c r="F28" s="115">
        <f>Modèle!F17</f>
        <v>0</v>
      </c>
      <c r="G28" s="115">
        <f>Modèle!G17</f>
        <v>0</v>
      </c>
      <c r="H28" s="115">
        <f>Modèle!H17</f>
        <v>0</v>
      </c>
      <c r="I28" s="115">
        <f>Modèle!I17</f>
        <v>0</v>
      </c>
      <c r="J28" s="115">
        <f>Modèle!J17</f>
        <v>0</v>
      </c>
      <c r="K28" s="115">
        <f>Modèle!K17</f>
        <v>0</v>
      </c>
      <c r="L28" s="115">
        <f>Modèle!L17</f>
        <v>0</v>
      </c>
      <c r="M28" s="115">
        <f>Modèle!M17</f>
        <v>0</v>
      </c>
      <c r="N28" s="115">
        <f>Modèle!N17</f>
        <v>0</v>
      </c>
      <c r="O28" s="115">
        <f>Modèle!O17</f>
        <v>0</v>
      </c>
      <c r="P28" s="115">
        <f>Modèle!P17</f>
        <v>0</v>
      </c>
      <c r="Q28" s="115">
        <f>Modèle!Q17</f>
        <v>0</v>
      </c>
      <c r="R28" s="115">
        <f>Modèle!R17</f>
        <v>0</v>
      </c>
      <c r="S28" s="115">
        <f>Modèle!S17</f>
        <v>0</v>
      </c>
      <c r="T28" s="115">
        <f>Modèle!T17</f>
        <v>0</v>
      </c>
      <c r="U28" s="115">
        <f>Modèle!U17</f>
        <v>0</v>
      </c>
      <c r="V28" s="115">
        <f>Modèle!V17</f>
        <v>0</v>
      </c>
      <c r="W28" s="115">
        <f>Modèle!W17</f>
        <v>0</v>
      </c>
      <c r="X28" s="115">
        <f>Modèle!X17</f>
        <v>0</v>
      </c>
      <c r="Y28" s="115">
        <f>Modèle!Y17</f>
        <v>0</v>
      </c>
      <c r="Z28" s="115">
        <f>Modèle!Z17</f>
        <v>0</v>
      </c>
      <c r="AA28" s="115">
        <f>Modèle!AA17</f>
        <v>0</v>
      </c>
      <c r="AB28" s="115">
        <f>Modèle!AB17</f>
        <v>0</v>
      </c>
      <c r="AC28" s="115">
        <f>Modèle!AC17</f>
        <v>0</v>
      </c>
      <c r="AD28" s="115">
        <f>Modèle!AD17</f>
        <v>0</v>
      </c>
      <c r="AE28" s="115">
        <f>Modèle!AE17</f>
        <v>0</v>
      </c>
      <c r="AF28" s="115">
        <f>Modèle!AF17</f>
        <v>0</v>
      </c>
      <c r="AG28" s="115">
        <f>Modèle!AG17</f>
        <v>0</v>
      </c>
      <c r="AH28" s="115">
        <f>Modèle!AH17</f>
        <v>0</v>
      </c>
      <c r="AI28" s="115">
        <f>Modèle!AI17</f>
        <v>0</v>
      </c>
      <c r="AJ28" s="115">
        <f>Modèle!AJ17</f>
        <v>0</v>
      </c>
      <c r="AK28" s="115">
        <f>Modèle!AK17</f>
        <v>0</v>
      </c>
      <c r="AL28" s="115">
        <f>Modèle!AL17</f>
        <v>0</v>
      </c>
      <c r="AM28" s="115">
        <f>Modèle!AM17</f>
        <v>0</v>
      </c>
      <c r="AN28" s="115">
        <f>Modèle!AN17</f>
        <v>0</v>
      </c>
      <c r="AO28" s="115">
        <f>Modèle!AO17</f>
        <v>0</v>
      </c>
      <c r="AP28" s="115">
        <f>Modèle!AP17</f>
        <v>0</v>
      </c>
      <c r="AQ28" s="115">
        <f>Modèle!AQ17</f>
        <v>0</v>
      </c>
      <c r="AR28" s="115">
        <f>Modèle!AR17</f>
        <v>0</v>
      </c>
      <c r="AS28" s="115">
        <f>Modèle!AS16</f>
        <v>19816.093311833007</v>
      </c>
      <c r="AT28" s="115">
        <f>Modèle!AT16</f>
        <v>20212.415178069667</v>
      </c>
      <c r="AU28" s="115">
        <f>Modèle!AU16</f>
        <v>20616.66348163106</v>
      </c>
      <c r="AV28" s="115">
        <f>Modèle!AV16</f>
        <v>21028.996751263683</v>
      </c>
      <c r="AW28" s="115">
        <f>Modèle!AW16</f>
        <v>21449.576686288958</v>
      </c>
      <c r="AX28" s="115">
        <f>Modèle!AX16</f>
        <v>21878.56822001474</v>
      </c>
      <c r="AY28" s="115">
        <f>Modèle!AY16</f>
        <v>22316.139584415032</v>
      </c>
      <c r="AZ28" s="115">
        <f>Modèle!AZ16</f>
        <v>22762.462376103333</v>
      </c>
      <c r="BA28" s="115">
        <f>Modèle!BA16</f>
        <v>23217.7116236254</v>
      </c>
    </row>
    <row r="29" spans="2:53" ht="15">
      <c r="B29" s="114" t="s">
        <v>180</v>
      </c>
      <c r="C29" s="115">
        <f>C28*C24*C25</f>
        <v>0</v>
      </c>
      <c r="D29" s="115">
        <f>D28*D24*D25</f>
        <v>0</v>
      </c>
      <c r="E29" s="115">
        <f aca="true" t="shared" si="14" ref="E29:BA29">E28*E24*E25</f>
        <v>0</v>
      </c>
      <c r="F29" s="115">
        <f t="shared" si="14"/>
        <v>0</v>
      </c>
      <c r="G29" s="115">
        <f t="shared" si="14"/>
        <v>0</v>
      </c>
      <c r="H29" s="115">
        <f t="shared" si="14"/>
        <v>0</v>
      </c>
      <c r="I29" s="115">
        <f t="shared" si="14"/>
        <v>0</v>
      </c>
      <c r="J29" s="115">
        <f t="shared" si="14"/>
        <v>0</v>
      </c>
      <c r="K29" s="115">
        <f t="shared" si="14"/>
        <v>0</v>
      </c>
      <c r="L29" s="115">
        <f t="shared" si="14"/>
        <v>0</v>
      </c>
      <c r="M29" s="115">
        <f t="shared" si="14"/>
        <v>0</v>
      </c>
      <c r="N29" s="115">
        <f t="shared" si="14"/>
        <v>0</v>
      </c>
      <c r="O29" s="115">
        <f t="shared" si="14"/>
        <v>0</v>
      </c>
      <c r="P29" s="115">
        <f t="shared" si="14"/>
        <v>0</v>
      </c>
      <c r="Q29" s="115">
        <f t="shared" si="14"/>
        <v>0</v>
      </c>
      <c r="R29" s="115">
        <f t="shared" si="14"/>
        <v>0</v>
      </c>
      <c r="S29" s="115">
        <f t="shared" si="14"/>
        <v>0</v>
      </c>
      <c r="T29" s="115">
        <f t="shared" si="14"/>
        <v>0</v>
      </c>
      <c r="U29" s="115">
        <f t="shared" si="14"/>
        <v>0</v>
      </c>
      <c r="V29" s="115">
        <f t="shared" si="14"/>
        <v>0</v>
      </c>
      <c r="W29" s="115">
        <f t="shared" si="14"/>
        <v>0</v>
      </c>
      <c r="X29" s="115">
        <f t="shared" si="14"/>
        <v>0</v>
      </c>
      <c r="Y29" s="115">
        <f t="shared" si="14"/>
        <v>0</v>
      </c>
      <c r="Z29" s="115">
        <f t="shared" si="14"/>
        <v>0</v>
      </c>
      <c r="AA29" s="115">
        <f t="shared" si="14"/>
        <v>0</v>
      </c>
      <c r="AB29" s="115">
        <f t="shared" si="14"/>
        <v>0</v>
      </c>
      <c r="AC29" s="115">
        <f t="shared" si="14"/>
        <v>0</v>
      </c>
      <c r="AD29" s="115">
        <f t="shared" si="14"/>
        <v>0</v>
      </c>
      <c r="AE29" s="115">
        <f t="shared" si="14"/>
        <v>0</v>
      </c>
      <c r="AF29" s="115">
        <f t="shared" si="14"/>
        <v>0</v>
      </c>
      <c r="AG29" s="115">
        <f t="shared" si="14"/>
        <v>0</v>
      </c>
      <c r="AH29" s="115">
        <f t="shared" si="14"/>
        <v>0</v>
      </c>
      <c r="AI29" s="115">
        <f t="shared" si="14"/>
        <v>0</v>
      </c>
      <c r="AJ29" s="115">
        <f t="shared" si="14"/>
        <v>0</v>
      </c>
      <c r="AK29" s="115">
        <f t="shared" si="14"/>
        <v>0</v>
      </c>
      <c r="AL29" s="115">
        <f t="shared" si="14"/>
        <v>0</v>
      </c>
      <c r="AM29" s="115">
        <f t="shared" si="14"/>
        <v>0</v>
      </c>
      <c r="AN29" s="115">
        <f t="shared" si="14"/>
        <v>0</v>
      </c>
      <c r="AO29" s="115">
        <f t="shared" si="14"/>
        <v>0</v>
      </c>
      <c r="AP29" s="115">
        <f t="shared" si="14"/>
        <v>0</v>
      </c>
      <c r="AQ29" s="115">
        <f t="shared" si="14"/>
        <v>0</v>
      </c>
      <c r="AR29" s="115">
        <f t="shared" si="14"/>
        <v>0</v>
      </c>
      <c r="AS29" s="115">
        <f t="shared" si="14"/>
        <v>1486.2069983874756</v>
      </c>
      <c r="AT29" s="115">
        <f t="shared" si="14"/>
        <v>1515.931138355225</v>
      </c>
      <c r="AU29" s="115">
        <f t="shared" si="14"/>
        <v>1546.2497611223296</v>
      </c>
      <c r="AV29" s="115">
        <f t="shared" si="14"/>
        <v>1577.1747563447761</v>
      </c>
      <c r="AW29" s="115">
        <f t="shared" si="14"/>
        <v>1608.7182514716717</v>
      </c>
      <c r="AX29" s="115">
        <f t="shared" si="14"/>
        <v>1640.8926165011053</v>
      </c>
      <c r="AY29" s="115">
        <f t="shared" si="14"/>
        <v>1673.7104688311274</v>
      </c>
      <c r="AZ29" s="115">
        <f t="shared" si="14"/>
        <v>1707.1846782077498</v>
      </c>
      <c r="BA29" s="115">
        <f t="shared" si="14"/>
        <v>1741.328371771905</v>
      </c>
    </row>
    <row r="30" spans="2:53" ht="15">
      <c r="B30" s="114" t="s">
        <v>181</v>
      </c>
      <c r="C30" s="115">
        <f>C28*C24*C26</f>
        <v>0</v>
      </c>
      <c r="D30" s="115">
        <f>D28*D24*D26</f>
        <v>0</v>
      </c>
      <c r="E30" s="115">
        <f aca="true" t="shared" si="15" ref="E30:BA30">E28*E24*E26</f>
        <v>0</v>
      </c>
      <c r="F30" s="115">
        <f t="shared" si="15"/>
        <v>0</v>
      </c>
      <c r="G30" s="115">
        <f t="shared" si="15"/>
        <v>0</v>
      </c>
      <c r="H30" s="115">
        <f t="shared" si="15"/>
        <v>0</v>
      </c>
      <c r="I30" s="115">
        <f t="shared" si="15"/>
        <v>0</v>
      </c>
      <c r="J30" s="115">
        <f t="shared" si="15"/>
        <v>0</v>
      </c>
      <c r="K30" s="115">
        <f t="shared" si="15"/>
        <v>0</v>
      </c>
      <c r="L30" s="115">
        <f t="shared" si="15"/>
        <v>0</v>
      </c>
      <c r="M30" s="115">
        <f t="shared" si="15"/>
        <v>0</v>
      </c>
      <c r="N30" s="115">
        <f t="shared" si="15"/>
        <v>0</v>
      </c>
      <c r="O30" s="115">
        <f t="shared" si="15"/>
        <v>0</v>
      </c>
      <c r="P30" s="115">
        <f t="shared" si="15"/>
        <v>0</v>
      </c>
      <c r="Q30" s="115">
        <f t="shared" si="15"/>
        <v>0</v>
      </c>
      <c r="R30" s="115">
        <f t="shared" si="15"/>
        <v>0</v>
      </c>
      <c r="S30" s="115">
        <f t="shared" si="15"/>
        <v>0</v>
      </c>
      <c r="T30" s="115">
        <f t="shared" si="15"/>
        <v>0</v>
      </c>
      <c r="U30" s="115">
        <f t="shared" si="15"/>
        <v>0</v>
      </c>
      <c r="V30" s="115">
        <f t="shared" si="15"/>
        <v>0</v>
      </c>
      <c r="W30" s="115">
        <f t="shared" si="15"/>
        <v>0</v>
      </c>
      <c r="X30" s="115">
        <f t="shared" si="15"/>
        <v>0</v>
      </c>
      <c r="Y30" s="115">
        <f t="shared" si="15"/>
        <v>0</v>
      </c>
      <c r="Z30" s="115">
        <f t="shared" si="15"/>
        <v>0</v>
      </c>
      <c r="AA30" s="115">
        <f t="shared" si="15"/>
        <v>0</v>
      </c>
      <c r="AB30" s="115">
        <f t="shared" si="15"/>
        <v>0</v>
      </c>
      <c r="AC30" s="115">
        <f t="shared" si="15"/>
        <v>0</v>
      </c>
      <c r="AD30" s="115">
        <f t="shared" si="15"/>
        <v>0</v>
      </c>
      <c r="AE30" s="115">
        <f t="shared" si="15"/>
        <v>0</v>
      </c>
      <c r="AF30" s="115">
        <f t="shared" si="15"/>
        <v>0</v>
      </c>
      <c r="AG30" s="115">
        <f t="shared" si="15"/>
        <v>0</v>
      </c>
      <c r="AH30" s="115">
        <f t="shared" si="15"/>
        <v>0</v>
      </c>
      <c r="AI30" s="115">
        <f t="shared" si="15"/>
        <v>0</v>
      </c>
      <c r="AJ30" s="115">
        <f t="shared" si="15"/>
        <v>0</v>
      </c>
      <c r="AK30" s="115">
        <f t="shared" si="15"/>
        <v>0</v>
      </c>
      <c r="AL30" s="115">
        <f t="shared" si="15"/>
        <v>0</v>
      </c>
      <c r="AM30" s="115">
        <f t="shared" si="15"/>
        <v>0</v>
      </c>
      <c r="AN30" s="115">
        <f t="shared" si="15"/>
        <v>0</v>
      </c>
      <c r="AO30" s="115">
        <f t="shared" si="15"/>
        <v>0</v>
      </c>
      <c r="AP30" s="115">
        <f t="shared" si="15"/>
        <v>0</v>
      </c>
      <c r="AQ30" s="115">
        <f t="shared" si="15"/>
        <v>0</v>
      </c>
      <c r="AR30" s="115">
        <f t="shared" si="15"/>
        <v>0</v>
      </c>
      <c r="AS30" s="115">
        <f t="shared" si="15"/>
        <v>99.08046655916503</v>
      </c>
      <c r="AT30" s="115">
        <f t="shared" si="15"/>
        <v>101.06207589034834</v>
      </c>
      <c r="AU30" s="115">
        <f t="shared" si="15"/>
        <v>103.08331740815531</v>
      </c>
      <c r="AV30" s="115">
        <f t="shared" si="15"/>
        <v>105.14498375631842</v>
      </c>
      <c r="AW30" s="115">
        <f t="shared" si="15"/>
        <v>107.24788343144479</v>
      </c>
      <c r="AX30" s="115">
        <f t="shared" si="15"/>
        <v>109.3928411000737</v>
      </c>
      <c r="AY30" s="115">
        <f t="shared" si="15"/>
        <v>111.58069792207516</v>
      </c>
      <c r="AZ30" s="115">
        <f t="shared" si="15"/>
        <v>113.81231188051666</v>
      </c>
      <c r="BA30" s="115">
        <f t="shared" si="15"/>
        <v>116.08855811812701</v>
      </c>
    </row>
    <row r="32" spans="2:53" ht="15">
      <c r="B32" s="114" t="s">
        <v>188</v>
      </c>
      <c r="C32" s="122">
        <v>0.042</v>
      </c>
      <c r="D32" s="122">
        <f>C32</f>
        <v>0.042</v>
      </c>
      <c r="E32" s="122">
        <f aca="true" t="shared" si="16" ref="E32:BA32">D32</f>
        <v>0.042</v>
      </c>
      <c r="F32" s="122">
        <f t="shared" si="16"/>
        <v>0.042</v>
      </c>
      <c r="G32" s="122">
        <f t="shared" si="16"/>
        <v>0.042</v>
      </c>
      <c r="H32" s="122">
        <f t="shared" si="16"/>
        <v>0.042</v>
      </c>
      <c r="I32" s="122">
        <f t="shared" si="16"/>
        <v>0.042</v>
      </c>
      <c r="J32" s="122">
        <f t="shared" si="16"/>
        <v>0.042</v>
      </c>
      <c r="K32" s="122">
        <f t="shared" si="16"/>
        <v>0.042</v>
      </c>
      <c r="L32" s="122">
        <f t="shared" si="16"/>
        <v>0.042</v>
      </c>
      <c r="M32" s="122">
        <f t="shared" si="16"/>
        <v>0.042</v>
      </c>
      <c r="N32" s="122">
        <f t="shared" si="16"/>
        <v>0.042</v>
      </c>
      <c r="O32" s="122">
        <f t="shared" si="16"/>
        <v>0.042</v>
      </c>
      <c r="P32" s="122">
        <f t="shared" si="16"/>
        <v>0.042</v>
      </c>
      <c r="Q32" s="122">
        <f t="shared" si="16"/>
        <v>0.042</v>
      </c>
      <c r="R32" s="122">
        <f t="shared" si="16"/>
        <v>0.042</v>
      </c>
      <c r="S32" s="122">
        <f t="shared" si="16"/>
        <v>0.042</v>
      </c>
      <c r="T32" s="122">
        <f t="shared" si="16"/>
        <v>0.042</v>
      </c>
      <c r="U32" s="122">
        <f t="shared" si="16"/>
        <v>0.042</v>
      </c>
      <c r="V32" s="122">
        <f t="shared" si="16"/>
        <v>0.042</v>
      </c>
      <c r="W32" s="122">
        <f t="shared" si="16"/>
        <v>0.042</v>
      </c>
      <c r="X32" s="122">
        <f t="shared" si="16"/>
        <v>0.042</v>
      </c>
      <c r="Y32" s="122">
        <f t="shared" si="16"/>
        <v>0.042</v>
      </c>
      <c r="Z32" s="122">
        <f t="shared" si="16"/>
        <v>0.042</v>
      </c>
      <c r="AA32" s="122">
        <f t="shared" si="16"/>
        <v>0.042</v>
      </c>
      <c r="AB32" s="122">
        <f t="shared" si="16"/>
        <v>0.042</v>
      </c>
      <c r="AC32" s="122">
        <f t="shared" si="16"/>
        <v>0.042</v>
      </c>
      <c r="AD32" s="122">
        <f t="shared" si="16"/>
        <v>0.042</v>
      </c>
      <c r="AE32" s="122">
        <f t="shared" si="16"/>
        <v>0.042</v>
      </c>
      <c r="AF32" s="122">
        <f t="shared" si="16"/>
        <v>0.042</v>
      </c>
      <c r="AG32" s="122">
        <f t="shared" si="16"/>
        <v>0.042</v>
      </c>
      <c r="AH32" s="122">
        <f t="shared" si="16"/>
        <v>0.042</v>
      </c>
      <c r="AI32" s="122">
        <f t="shared" si="16"/>
        <v>0.042</v>
      </c>
      <c r="AJ32" s="122">
        <f t="shared" si="16"/>
        <v>0.042</v>
      </c>
      <c r="AK32" s="122">
        <f t="shared" si="16"/>
        <v>0.042</v>
      </c>
      <c r="AL32" s="122">
        <f t="shared" si="16"/>
        <v>0.042</v>
      </c>
      <c r="AM32" s="122">
        <f t="shared" si="16"/>
        <v>0.042</v>
      </c>
      <c r="AN32" s="122">
        <f t="shared" si="16"/>
        <v>0.042</v>
      </c>
      <c r="AO32" s="122">
        <f t="shared" si="16"/>
        <v>0.042</v>
      </c>
      <c r="AP32" s="122">
        <f t="shared" si="16"/>
        <v>0.042</v>
      </c>
      <c r="AQ32" s="122">
        <f t="shared" si="16"/>
        <v>0.042</v>
      </c>
      <c r="AR32" s="122">
        <f t="shared" si="16"/>
        <v>0.042</v>
      </c>
      <c r="AS32" s="122">
        <f t="shared" si="16"/>
        <v>0.042</v>
      </c>
      <c r="AT32" s="122">
        <f t="shared" si="16"/>
        <v>0.042</v>
      </c>
      <c r="AU32" s="122">
        <f t="shared" si="16"/>
        <v>0.042</v>
      </c>
      <c r="AV32" s="122">
        <f t="shared" si="16"/>
        <v>0.042</v>
      </c>
      <c r="AW32" s="122">
        <f t="shared" si="16"/>
        <v>0.042</v>
      </c>
      <c r="AX32" s="122">
        <f t="shared" si="16"/>
        <v>0.042</v>
      </c>
      <c r="AY32" s="122">
        <f t="shared" si="16"/>
        <v>0.042</v>
      </c>
      <c r="AZ32" s="122">
        <f t="shared" si="16"/>
        <v>0.042</v>
      </c>
      <c r="BA32" s="122">
        <f t="shared" si="16"/>
        <v>0.042</v>
      </c>
    </row>
    <row r="33" spans="2:53" ht="15">
      <c r="B33" s="114" t="s">
        <v>189</v>
      </c>
      <c r="C33" s="115">
        <f>C28*C24*C32</f>
        <v>0</v>
      </c>
      <c r="D33" s="115">
        <f>D28*D24*D32</f>
        <v>0</v>
      </c>
      <c r="E33" s="115">
        <f aca="true" t="shared" si="17" ref="E33:BA33">E28*E24*E32</f>
        <v>0</v>
      </c>
      <c r="F33" s="115">
        <f t="shared" si="17"/>
        <v>0</v>
      </c>
      <c r="G33" s="115">
        <f t="shared" si="17"/>
        <v>0</v>
      </c>
      <c r="H33" s="115">
        <f t="shared" si="17"/>
        <v>0</v>
      </c>
      <c r="I33" s="115">
        <f t="shared" si="17"/>
        <v>0</v>
      </c>
      <c r="J33" s="115">
        <f t="shared" si="17"/>
        <v>0</v>
      </c>
      <c r="K33" s="115">
        <f t="shared" si="17"/>
        <v>0</v>
      </c>
      <c r="L33" s="115">
        <f t="shared" si="17"/>
        <v>0</v>
      </c>
      <c r="M33" s="115">
        <f t="shared" si="17"/>
        <v>0</v>
      </c>
      <c r="N33" s="115">
        <f t="shared" si="17"/>
        <v>0</v>
      </c>
      <c r="O33" s="115">
        <f t="shared" si="17"/>
        <v>0</v>
      </c>
      <c r="P33" s="115">
        <f t="shared" si="17"/>
        <v>0</v>
      </c>
      <c r="Q33" s="115">
        <f t="shared" si="17"/>
        <v>0</v>
      </c>
      <c r="R33" s="115">
        <f t="shared" si="17"/>
        <v>0</v>
      </c>
      <c r="S33" s="115">
        <f t="shared" si="17"/>
        <v>0</v>
      </c>
      <c r="T33" s="115">
        <f t="shared" si="17"/>
        <v>0</v>
      </c>
      <c r="U33" s="115">
        <f t="shared" si="17"/>
        <v>0</v>
      </c>
      <c r="V33" s="115">
        <f t="shared" si="17"/>
        <v>0</v>
      </c>
      <c r="W33" s="115">
        <f t="shared" si="17"/>
        <v>0</v>
      </c>
      <c r="X33" s="115">
        <f t="shared" si="17"/>
        <v>0</v>
      </c>
      <c r="Y33" s="115">
        <f t="shared" si="17"/>
        <v>0</v>
      </c>
      <c r="Z33" s="115">
        <f t="shared" si="17"/>
        <v>0</v>
      </c>
      <c r="AA33" s="115">
        <f t="shared" si="17"/>
        <v>0</v>
      </c>
      <c r="AB33" s="115">
        <f t="shared" si="17"/>
        <v>0</v>
      </c>
      <c r="AC33" s="115">
        <f t="shared" si="17"/>
        <v>0</v>
      </c>
      <c r="AD33" s="115">
        <f t="shared" si="17"/>
        <v>0</v>
      </c>
      <c r="AE33" s="115">
        <f t="shared" si="17"/>
        <v>0</v>
      </c>
      <c r="AF33" s="115">
        <f t="shared" si="17"/>
        <v>0</v>
      </c>
      <c r="AG33" s="115">
        <f t="shared" si="17"/>
        <v>0</v>
      </c>
      <c r="AH33" s="115">
        <f t="shared" si="17"/>
        <v>0</v>
      </c>
      <c r="AI33" s="115">
        <f t="shared" si="17"/>
        <v>0</v>
      </c>
      <c r="AJ33" s="115">
        <f t="shared" si="17"/>
        <v>0</v>
      </c>
      <c r="AK33" s="115">
        <f t="shared" si="17"/>
        <v>0</v>
      </c>
      <c r="AL33" s="115">
        <f t="shared" si="17"/>
        <v>0</v>
      </c>
      <c r="AM33" s="115">
        <f t="shared" si="17"/>
        <v>0</v>
      </c>
      <c r="AN33" s="115">
        <f t="shared" si="17"/>
        <v>0</v>
      </c>
      <c r="AO33" s="115">
        <f t="shared" si="17"/>
        <v>0</v>
      </c>
      <c r="AP33" s="115">
        <f t="shared" si="17"/>
        <v>0</v>
      </c>
      <c r="AQ33" s="115">
        <f t="shared" si="17"/>
        <v>0</v>
      </c>
      <c r="AR33" s="115">
        <f t="shared" si="17"/>
        <v>0</v>
      </c>
      <c r="AS33" s="115">
        <f t="shared" si="17"/>
        <v>832.2759190969863</v>
      </c>
      <c r="AT33" s="115">
        <f t="shared" si="17"/>
        <v>848.921437478926</v>
      </c>
      <c r="AU33" s="115">
        <f t="shared" si="17"/>
        <v>865.8998662285046</v>
      </c>
      <c r="AV33" s="115">
        <f t="shared" si="17"/>
        <v>883.2178635530747</v>
      </c>
      <c r="AW33" s="115">
        <f t="shared" si="17"/>
        <v>900.8822208241363</v>
      </c>
      <c r="AX33" s="115">
        <f t="shared" si="17"/>
        <v>918.8998652406191</v>
      </c>
      <c r="AY33" s="115">
        <f t="shared" si="17"/>
        <v>937.2778625454314</v>
      </c>
      <c r="AZ33" s="115">
        <f t="shared" si="17"/>
        <v>956.02341979634</v>
      </c>
      <c r="BA33" s="115">
        <f t="shared" si="17"/>
        <v>975.1438881922669</v>
      </c>
    </row>
    <row r="36" ht="15">
      <c r="B36" s="113" t="s">
        <v>162</v>
      </c>
    </row>
    <row r="38" ht="15">
      <c r="B38" s="113" t="s">
        <v>306</v>
      </c>
    </row>
    <row r="40" spans="2:53" ht="15">
      <c r="B40" s="172" t="s">
        <v>170</v>
      </c>
      <c r="C40" s="115">
        <v>5693</v>
      </c>
      <c r="D40" s="115">
        <f>C40*(1+D$47)</f>
        <v>5806.86</v>
      </c>
      <c r="E40" s="115">
        <f aca="true" t="shared" si="18" ref="E40:BA44">D40*(1+E$47)</f>
        <v>5922.9972</v>
      </c>
      <c r="F40" s="115">
        <f t="shared" si="18"/>
        <v>6041.457144</v>
      </c>
      <c r="G40" s="115">
        <f t="shared" si="18"/>
        <v>6162.28628688</v>
      </c>
      <c r="H40" s="115">
        <f t="shared" si="18"/>
        <v>6285.5320126176</v>
      </c>
      <c r="I40" s="115">
        <f t="shared" si="18"/>
        <v>6411.2426528699525</v>
      </c>
      <c r="J40" s="115">
        <f t="shared" si="18"/>
        <v>6539.467505927351</v>
      </c>
      <c r="K40" s="115">
        <f t="shared" si="18"/>
        <v>6670.2568560458985</v>
      </c>
      <c r="L40" s="115">
        <f t="shared" si="18"/>
        <v>6803.6619931668165</v>
      </c>
      <c r="M40" s="115">
        <f t="shared" si="18"/>
        <v>6939.735233030153</v>
      </c>
      <c r="N40" s="115">
        <f t="shared" si="18"/>
        <v>7078.529937690756</v>
      </c>
      <c r="O40" s="115">
        <f t="shared" si="18"/>
        <v>7220.100536444571</v>
      </c>
      <c r="P40" s="115">
        <f t="shared" si="18"/>
        <v>7364.5025471734625</v>
      </c>
      <c r="Q40" s="115">
        <f t="shared" si="18"/>
        <v>7511.792598116932</v>
      </c>
      <c r="R40" s="115">
        <f t="shared" si="18"/>
        <v>7662.02845007927</v>
      </c>
      <c r="S40" s="115">
        <f t="shared" si="18"/>
        <v>7815.269019080856</v>
      </c>
      <c r="T40" s="115">
        <f t="shared" si="18"/>
        <v>7971.574399462474</v>
      </c>
      <c r="U40" s="115">
        <f t="shared" si="18"/>
        <v>8131.0058874517235</v>
      </c>
      <c r="V40" s="115">
        <f t="shared" si="18"/>
        <v>8293.626005200758</v>
      </c>
      <c r="W40" s="115">
        <f t="shared" si="18"/>
        <v>8459.498525304774</v>
      </c>
      <c r="X40" s="115">
        <f t="shared" si="18"/>
        <v>8628.68849581087</v>
      </c>
      <c r="Y40" s="115">
        <f t="shared" si="18"/>
        <v>8801.262265727088</v>
      </c>
      <c r="Z40" s="115">
        <f t="shared" si="18"/>
        <v>8977.28751104163</v>
      </c>
      <c r="AA40" s="115">
        <f t="shared" si="18"/>
        <v>9156.833261262462</v>
      </c>
      <c r="AB40" s="115">
        <f t="shared" si="18"/>
        <v>9339.96992648771</v>
      </c>
      <c r="AC40" s="115">
        <f t="shared" si="18"/>
        <v>9526.769325017465</v>
      </c>
      <c r="AD40" s="115">
        <f t="shared" si="18"/>
        <v>9717.304711517814</v>
      </c>
      <c r="AE40" s="115">
        <f t="shared" si="18"/>
        <v>9911.650805748171</v>
      </c>
      <c r="AF40" s="115">
        <f t="shared" si="18"/>
        <v>10109.883821863135</v>
      </c>
      <c r="AG40" s="115">
        <f t="shared" si="18"/>
        <v>10312.081498300398</v>
      </c>
      <c r="AH40" s="115">
        <f t="shared" si="18"/>
        <v>10518.323128266407</v>
      </c>
      <c r="AI40" s="115">
        <f t="shared" si="18"/>
        <v>10728.689590831736</v>
      </c>
      <c r="AJ40" s="115">
        <f t="shared" si="18"/>
        <v>10943.26338264837</v>
      </c>
      <c r="AK40" s="115">
        <f t="shared" si="18"/>
        <v>11162.128650301338</v>
      </c>
      <c r="AL40" s="115">
        <f t="shared" si="18"/>
        <v>11385.371223307366</v>
      </c>
      <c r="AM40" s="115">
        <f t="shared" si="18"/>
        <v>11613.078647773513</v>
      </c>
      <c r="AN40" s="115">
        <f t="shared" si="18"/>
        <v>11845.340220728984</v>
      </c>
      <c r="AO40" s="115">
        <f t="shared" si="18"/>
        <v>12082.247025143564</v>
      </c>
      <c r="AP40" s="115">
        <f t="shared" si="18"/>
        <v>12323.891965646435</v>
      </c>
      <c r="AQ40" s="115">
        <f t="shared" si="18"/>
        <v>12570.369804959364</v>
      </c>
      <c r="AR40" s="115">
        <f t="shared" si="18"/>
        <v>12821.777201058552</v>
      </c>
      <c r="AS40" s="115">
        <f t="shared" si="18"/>
        <v>13078.212745079723</v>
      </c>
      <c r="AT40" s="115">
        <f t="shared" si="18"/>
        <v>13339.776999981317</v>
      </c>
      <c r="AU40" s="115">
        <f t="shared" si="18"/>
        <v>13606.572539980943</v>
      </c>
      <c r="AV40" s="115">
        <f t="shared" si="18"/>
        <v>13878.703990780563</v>
      </c>
      <c r="AW40" s="115">
        <f t="shared" si="18"/>
        <v>14156.278070596174</v>
      </c>
      <c r="AX40" s="115">
        <f t="shared" si="18"/>
        <v>14439.403632008098</v>
      </c>
      <c r="AY40" s="115">
        <f t="shared" si="18"/>
        <v>14728.19170464826</v>
      </c>
      <c r="AZ40" s="115">
        <f t="shared" si="18"/>
        <v>15022.755538741225</v>
      </c>
      <c r="BA40" s="115">
        <f t="shared" si="18"/>
        <v>15323.21064951605</v>
      </c>
    </row>
    <row r="41" spans="2:53" ht="15">
      <c r="B41" s="172" t="s">
        <v>171</v>
      </c>
      <c r="C41" s="115">
        <v>11896</v>
      </c>
      <c r="D41" s="115">
        <f>C41*(1+D$47)</f>
        <v>12133.92</v>
      </c>
      <c r="E41" s="115">
        <f>D41*(1+E$47)</f>
        <v>12376.5984</v>
      </c>
      <c r="F41" s="115">
        <f>E41*(1+F$47)</f>
        <v>12624.130368000002</v>
      </c>
      <c r="G41" s="115">
        <f>F41*(1+G$47)</f>
        <v>12876.612975360002</v>
      </c>
      <c r="H41" s="115">
        <f>G41*(1+H$47)</f>
        <v>13134.145234867203</v>
      </c>
      <c r="I41" s="115">
        <f>H41*(1+I$47)</f>
        <v>13396.828139564546</v>
      </c>
      <c r="J41" s="115">
        <f>I41*(1+J$47)</f>
        <v>13664.764702355837</v>
      </c>
      <c r="K41" s="115">
        <f>J41*(1+K$47)</f>
        <v>13938.059996402953</v>
      </c>
      <c r="L41" s="115">
        <f>K41*(1+L$47)</f>
        <v>14216.821196331013</v>
      </c>
      <c r="M41" s="115">
        <f>L41*(1+M$47)</f>
        <v>14501.157620257634</v>
      </c>
      <c r="N41" s="115">
        <f>M41*(1+N$47)</f>
        <v>14791.180772662787</v>
      </c>
      <c r="O41" s="115">
        <f>N41*(1+O$47)</f>
        <v>15087.004388116042</v>
      </c>
      <c r="P41" s="115">
        <f>O41*(1+P$47)</f>
        <v>15388.744475878362</v>
      </c>
      <c r="Q41" s="115">
        <f>P41*(1+Q$47)</f>
        <v>15696.51936539593</v>
      </c>
      <c r="R41" s="115">
        <f>Q41*(1+R$47)</f>
        <v>16010.44975270385</v>
      </c>
      <c r="S41" s="115">
        <f>R41*(1+S$47)</f>
        <v>16330.658747757927</v>
      </c>
      <c r="T41" s="115">
        <f t="shared" si="18"/>
        <v>16657.271922713087</v>
      </c>
      <c r="U41" s="115">
        <f t="shared" si="18"/>
        <v>16990.41736116735</v>
      </c>
      <c r="V41" s="115">
        <f t="shared" si="18"/>
        <v>17330.2257083907</v>
      </c>
      <c r="W41" s="115">
        <f t="shared" si="18"/>
        <v>17676.830222558514</v>
      </c>
      <c r="X41" s="115">
        <f t="shared" si="18"/>
        <v>18030.366827009686</v>
      </c>
      <c r="Y41" s="115">
        <f t="shared" si="18"/>
        <v>18390.97416354988</v>
      </c>
      <c r="Z41" s="115">
        <f t="shared" si="18"/>
        <v>18758.79364682088</v>
      </c>
      <c r="AA41" s="115">
        <f t="shared" si="18"/>
        <v>19133.9695197573</v>
      </c>
      <c r="AB41" s="115">
        <f t="shared" si="18"/>
        <v>19516.648910152446</v>
      </c>
      <c r="AC41" s="115">
        <f t="shared" si="18"/>
        <v>19906.981888355494</v>
      </c>
      <c r="AD41" s="115">
        <f t="shared" si="18"/>
        <v>20305.121526122606</v>
      </c>
      <c r="AE41" s="115">
        <f t="shared" si="18"/>
        <v>20711.22395664506</v>
      </c>
      <c r="AF41" s="115">
        <f t="shared" si="18"/>
        <v>21125.448435777962</v>
      </c>
      <c r="AG41" s="115">
        <f t="shared" si="18"/>
        <v>21547.95740449352</v>
      </c>
      <c r="AH41" s="115">
        <f t="shared" si="18"/>
        <v>21978.916552583392</v>
      </c>
      <c r="AI41" s="115">
        <f t="shared" si="18"/>
        <v>22418.49488363506</v>
      </c>
      <c r="AJ41" s="115">
        <f t="shared" si="18"/>
        <v>22866.864781307762</v>
      </c>
      <c r="AK41" s="115">
        <f t="shared" si="18"/>
        <v>23324.202076933918</v>
      </c>
      <c r="AL41" s="115">
        <f t="shared" si="18"/>
        <v>23790.686118472597</v>
      </c>
      <c r="AM41" s="115">
        <f t="shared" si="18"/>
        <v>24266.49984084205</v>
      </c>
      <c r="AN41" s="115">
        <f t="shared" si="18"/>
        <v>24751.829837658894</v>
      </c>
      <c r="AO41" s="115">
        <f t="shared" si="18"/>
        <v>25246.866434412073</v>
      </c>
      <c r="AP41" s="115">
        <f t="shared" si="18"/>
        <v>25751.803763100317</v>
      </c>
      <c r="AQ41" s="115">
        <f t="shared" si="18"/>
        <v>26266.839838362324</v>
      </c>
      <c r="AR41" s="115">
        <f t="shared" si="18"/>
        <v>26792.17663512957</v>
      </c>
      <c r="AS41" s="115">
        <f t="shared" si="18"/>
        <v>27328.02016783216</v>
      </c>
      <c r="AT41" s="115">
        <f t="shared" si="18"/>
        <v>27874.580571188806</v>
      </c>
      <c r="AU41" s="115">
        <f t="shared" si="18"/>
        <v>28432.07218261258</v>
      </c>
      <c r="AV41" s="115">
        <f t="shared" si="18"/>
        <v>29000.713626264835</v>
      </c>
      <c r="AW41" s="115">
        <f t="shared" si="18"/>
        <v>29580.727898790134</v>
      </c>
      <c r="AX41" s="115">
        <f t="shared" si="18"/>
        <v>30172.34245676594</v>
      </c>
      <c r="AY41" s="115">
        <f t="shared" si="18"/>
        <v>30775.789305901257</v>
      </c>
      <c r="AZ41" s="115">
        <f t="shared" si="18"/>
        <v>31391.305092019284</v>
      </c>
      <c r="BA41" s="115">
        <f t="shared" si="18"/>
        <v>32019.13119385967</v>
      </c>
    </row>
    <row r="42" spans="2:53" ht="15">
      <c r="B42" s="172" t="s">
        <v>172</v>
      </c>
      <c r="C42" s="115">
        <v>26420</v>
      </c>
      <c r="D42" s="115">
        <f>C42*(1+D$47)</f>
        <v>26948.4</v>
      </c>
      <c r="E42" s="115">
        <f t="shared" si="18"/>
        <v>27487.368000000002</v>
      </c>
      <c r="F42" s="115">
        <f t="shared" si="18"/>
        <v>28037.115360000003</v>
      </c>
      <c r="G42" s="115">
        <f t="shared" si="18"/>
        <v>28597.857667200005</v>
      </c>
      <c r="H42" s="115">
        <f t="shared" si="18"/>
        <v>29169.814820544005</v>
      </c>
      <c r="I42" s="115">
        <f t="shared" si="18"/>
        <v>29753.211116954884</v>
      </c>
      <c r="J42" s="115">
        <f t="shared" si="18"/>
        <v>30348.27533929398</v>
      </c>
      <c r="K42" s="115">
        <f t="shared" si="18"/>
        <v>30955.24084607986</v>
      </c>
      <c r="L42" s="115">
        <f t="shared" si="18"/>
        <v>31574.34566300146</v>
      </c>
      <c r="M42" s="115">
        <f t="shared" si="18"/>
        <v>32205.832576261488</v>
      </c>
      <c r="N42" s="115">
        <f t="shared" si="18"/>
        <v>32849.94922778672</v>
      </c>
      <c r="O42" s="115">
        <f t="shared" si="18"/>
        <v>33506.94821234245</v>
      </c>
      <c r="P42" s="115">
        <f t="shared" si="18"/>
        <v>34177.0871765893</v>
      </c>
      <c r="Q42" s="115">
        <f t="shared" si="18"/>
        <v>34860.62892012109</v>
      </c>
      <c r="R42" s="115">
        <f t="shared" si="18"/>
        <v>35557.841498523514</v>
      </c>
      <c r="S42" s="115">
        <f t="shared" si="18"/>
        <v>36268.99832849399</v>
      </c>
      <c r="T42" s="115">
        <f t="shared" si="18"/>
        <v>36994.37829506387</v>
      </c>
      <c r="U42" s="115">
        <f t="shared" si="18"/>
        <v>37734.26586096515</v>
      </c>
      <c r="V42" s="115">
        <f t="shared" si="18"/>
        <v>38488.95117818445</v>
      </c>
      <c r="W42" s="115">
        <f t="shared" si="18"/>
        <v>39258.73020174814</v>
      </c>
      <c r="X42" s="115">
        <f t="shared" si="18"/>
        <v>40043.9048057831</v>
      </c>
      <c r="Y42" s="115">
        <f t="shared" si="18"/>
        <v>40844.78290189877</v>
      </c>
      <c r="Z42" s="115">
        <f t="shared" si="18"/>
        <v>41661.67855993674</v>
      </c>
      <c r="AA42" s="115">
        <f t="shared" si="18"/>
        <v>42494.912131135476</v>
      </c>
      <c r="AB42" s="115">
        <f t="shared" si="18"/>
        <v>43344.810373758184</v>
      </c>
      <c r="AC42" s="115">
        <f t="shared" si="18"/>
        <v>44211.706581233346</v>
      </c>
      <c r="AD42" s="115">
        <f t="shared" si="18"/>
        <v>45095.94071285801</v>
      </c>
      <c r="AE42" s="115">
        <f t="shared" si="18"/>
        <v>45997.85952711517</v>
      </c>
      <c r="AF42" s="115">
        <f t="shared" si="18"/>
        <v>46917.81671765748</v>
      </c>
      <c r="AG42" s="115">
        <f t="shared" si="18"/>
        <v>47856.17305201063</v>
      </c>
      <c r="AH42" s="115">
        <f t="shared" si="18"/>
        <v>48813.29651305084</v>
      </c>
      <c r="AI42" s="115">
        <f t="shared" si="18"/>
        <v>49789.56244331186</v>
      </c>
      <c r="AJ42" s="115">
        <f t="shared" si="18"/>
        <v>50785.3536921781</v>
      </c>
      <c r="AK42" s="115">
        <f t="shared" si="18"/>
        <v>51801.06076602166</v>
      </c>
      <c r="AL42" s="115">
        <f t="shared" si="18"/>
        <v>52837.0819813421</v>
      </c>
      <c r="AM42" s="115">
        <f t="shared" si="18"/>
        <v>53893.82362096894</v>
      </c>
      <c r="AN42" s="115">
        <f t="shared" si="18"/>
        <v>54971.700093388325</v>
      </c>
      <c r="AO42" s="115">
        <f t="shared" si="18"/>
        <v>56071.13409525609</v>
      </c>
      <c r="AP42" s="115">
        <f t="shared" si="18"/>
        <v>57192.55677716122</v>
      </c>
      <c r="AQ42" s="115">
        <f t="shared" si="18"/>
        <v>58336.407912704446</v>
      </c>
      <c r="AR42" s="115">
        <f t="shared" si="18"/>
        <v>59503.136070958535</v>
      </c>
      <c r="AS42" s="115">
        <f t="shared" si="18"/>
        <v>60693.198792377705</v>
      </c>
      <c r="AT42" s="115">
        <f t="shared" si="18"/>
        <v>61907.06276822526</v>
      </c>
      <c r="AU42" s="115">
        <f t="shared" si="18"/>
        <v>63145.204023589766</v>
      </c>
      <c r="AV42" s="115">
        <f t="shared" si="18"/>
        <v>64408.10810406156</v>
      </c>
      <c r="AW42" s="115">
        <f t="shared" si="18"/>
        <v>65696.27026614279</v>
      </c>
      <c r="AX42" s="115">
        <f t="shared" si="18"/>
        <v>67010.19567146564</v>
      </c>
      <c r="AY42" s="115">
        <f t="shared" si="18"/>
        <v>68350.39958489496</v>
      </c>
      <c r="AZ42" s="115">
        <f t="shared" si="18"/>
        <v>69717.40757659286</v>
      </c>
      <c r="BA42" s="115">
        <f t="shared" si="18"/>
        <v>71111.75572812471</v>
      </c>
    </row>
    <row r="43" spans="2:53" ht="15">
      <c r="B43" s="172" t="s">
        <v>173</v>
      </c>
      <c r="C43" s="115">
        <v>70830</v>
      </c>
      <c r="D43" s="115">
        <f>C43*(1+D$47)</f>
        <v>72246.6</v>
      </c>
      <c r="E43" s="115">
        <f t="shared" si="18"/>
        <v>73691.532</v>
      </c>
      <c r="F43" s="115">
        <f t="shared" si="18"/>
        <v>75165.36264</v>
      </c>
      <c r="G43" s="115">
        <f t="shared" si="18"/>
        <v>76668.66989280001</v>
      </c>
      <c r="H43" s="115">
        <f t="shared" si="18"/>
        <v>78202.04329065602</v>
      </c>
      <c r="I43" s="115">
        <f t="shared" si="18"/>
        <v>79766.08415646914</v>
      </c>
      <c r="J43" s="115">
        <f t="shared" si="18"/>
        <v>81361.40583959852</v>
      </c>
      <c r="K43" s="115">
        <f t="shared" si="18"/>
        <v>82988.63395639049</v>
      </c>
      <c r="L43" s="115">
        <f t="shared" si="18"/>
        <v>84648.4066355183</v>
      </c>
      <c r="M43" s="115">
        <f t="shared" si="18"/>
        <v>86341.37476822866</v>
      </c>
      <c r="N43" s="115">
        <f t="shared" si="18"/>
        <v>88068.20226359324</v>
      </c>
      <c r="O43" s="115">
        <f t="shared" si="18"/>
        <v>89829.5663088651</v>
      </c>
      <c r="P43" s="115">
        <f t="shared" si="18"/>
        <v>91626.15763504241</v>
      </c>
      <c r="Q43" s="115">
        <f t="shared" si="18"/>
        <v>93458.68078774326</v>
      </c>
      <c r="R43" s="115">
        <f t="shared" si="18"/>
        <v>95327.85440349813</v>
      </c>
      <c r="S43" s="115">
        <f t="shared" si="18"/>
        <v>97234.4114915681</v>
      </c>
      <c r="T43" s="115">
        <f t="shared" si="18"/>
        <v>99179.09972139946</v>
      </c>
      <c r="U43" s="115">
        <f t="shared" si="18"/>
        <v>101162.68171582745</v>
      </c>
      <c r="V43" s="115">
        <f t="shared" si="18"/>
        <v>103185.935350144</v>
      </c>
      <c r="W43" s="115">
        <f t="shared" si="18"/>
        <v>105249.6540571469</v>
      </c>
      <c r="X43" s="115">
        <f t="shared" si="18"/>
        <v>107354.64713828983</v>
      </c>
      <c r="Y43" s="115">
        <f t="shared" si="18"/>
        <v>109501.74008105563</v>
      </c>
      <c r="Z43" s="115">
        <f t="shared" si="18"/>
        <v>111691.77488267675</v>
      </c>
      <c r="AA43" s="115">
        <f t="shared" si="18"/>
        <v>113925.61038033028</v>
      </c>
      <c r="AB43" s="115">
        <f t="shared" si="18"/>
        <v>116204.12258793689</v>
      </c>
      <c r="AC43" s="115">
        <f t="shared" si="18"/>
        <v>118528.20503969563</v>
      </c>
      <c r="AD43" s="115">
        <f t="shared" si="18"/>
        <v>120898.76914048954</v>
      </c>
      <c r="AE43" s="115">
        <f t="shared" si="18"/>
        <v>123316.74452329933</v>
      </c>
      <c r="AF43" s="115">
        <f t="shared" si="18"/>
        <v>125783.07941376533</v>
      </c>
      <c r="AG43" s="115">
        <f t="shared" si="18"/>
        <v>128298.74100204064</v>
      </c>
      <c r="AH43" s="115">
        <f t="shared" si="18"/>
        <v>130864.71582208146</v>
      </c>
      <c r="AI43" s="115">
        <f t="shared" si="18"/>
        <v>133482.0101385231</v>
      </c>
      <c r="AJ43" s="115">
        <f t="shared" si="18"/>
        <v>136151.65034129357</v>
      </c>
      <c r="AK43" s="115">
        <f t="shared" si="18"/>
        <v>138874.68334811943</v>
      </c>
      <c r="AL43" s="115">
        <f t="shared" si="18"/>
        <v>141652.17701508183</v>
      </c>
      <c r="AM43" s="115">
        <f t="shared" si="18"/>
        <v>144485.22055538348</v>
      </c>
      <c r="AN43" s="115">
        <f t="shared" si="18"/>
        <v>147374.92496649115</v>
      </c>
      <c r="AO43" s="115">
        <f t="shared" si="18"/>
        <v>150322.42346582096</v>
      </c>
      <c r="AP43" s="115">
        <f t="shared" si="18"/>
        <v>153328.87193513737</v>
      </c>
      <c r="AQ43" s="115">
        <f t="shared" si="18"/>
        <v>156395.44937384012</v>
      </c>
      <c r="AR43" s="115">
        <f t="shared" si="18"/>
        <v>159523.35836131693</v>
      </c>
      <c r="AS43" s="115">
        <f t="shared" si="18"/>
        <v>162713.82552854327</v>
      </c>
      <c r="AT43" s="115">
        <f t="shared" si="18"/>
        <v>165968.10203911414</v>
      </c>
      <c r="AU43" s="115">
        <f t="shared" si="18"/>
        <v>169287.46407989642</v>
      </c>
      <c r="AV43" s="115">
        <f t="shared" si="18"/>
        <v>172673.21336149436</v>
      </c>
      <c r="AW43" s="115">
        <f t="shared" si="18"/>
        <v>176126.67762872425</v>
      </c>
      <c r="AX43" s="115">
        <f t="shared" si="18"/>
        <v>179649.21118129874</v>
      </c>
      <c r="AY43" s="115">
        <f t="shared" si="18"/>
        <v>183242.1954049247</v>
      </c>
      <c r="AZ43" s="115">
        <f t="shared" si="18"/>
        <v>186907.0393130232</v>
      </c>
      <c r="BA43" s="115">
        <f t="shared" si="18"/>
        <v>190645.18009928367</v>
      </c>
    </row>
    <row r="44" spans="2:53" ht="15">
      <c r="B44" s="172" t="s">
        <v>174</v>
      </c>
      <c r="C44" s="115">
        <v>149999</v>
      </c>
      <c r="D44" s="115">
        <f>C44*(1+D$47)</f>
        <v>152998.98</v>
      </c>
      <c r="E44" s="115">
        <f t="shared" si="18"/>
        <v>156058.9596</v>
      </c>
      <c r="F44" s="115">
        <f t="shared" si="18"/>
        <v>159180.138792</v>
      </c>
      <c r="G44" s="115">
        <f t="shared" si="18"/>
        <v>162363.74156784</v>
      </c>
      <c r="H44" s="115">
        <f t="shared" si="18"/>
        <v>165611.01639919681</v>
      </c>
      <c r="I44" s="115">
        <f t="shared" si="18"/>
        <v>168923.23672718075</v>
      </c>
      <c r="J44" s="115">
        <f t="shared" si="18"/>
        <v>172301.70146172435</v>
      </c>
      <c r="K44" s="115">
        <f t="shared" si="18"/>
        <v>175747.73549095885</v>
      </c>
      <c r="L44" s="115">
        <f t="shared" si="18"/>
        <v>179262.69020077802</v>
      </c>
      <c r="M44" s="115">
        <f t="shared" si="18"/>
        <v>182847.9440047936</v>
      </c>
      <c r="N44" s="115">
        <f t="shared" si="18"/>
        <v>186504.90288488948</v>
      </c>
      <c r="O44" s="115">
        <f t="shared" si="18"/>
        <v>190235.00094258727</v>
      </c>
      <c r="P44" s="115">
        <f t="shared" si="18"/>
        <v>194039.70096143903</v>
      </c>
      <c r="Q44" s="115">
        <f t="shared" si="18"/>
        <v>197920.4949806678</v>
      </c>
      <c r="R44" s="115">
        <f t="shared" si="18"/>
        <v>201878.90488028116</v>
      </c>
      <c r="S44" s="115">
        <f t="shared" si="18"/>
        <v>205916.4829778868</v>
      </c>
      <c r="T44" s="115">
        <f t="shared" si="18"/>
        <v>210034.81263744453</v>
      </c>
      <c r="U44" s="115">
        <f t="shared" si="18"/>
        <v>214235.50889019342</v>
      </c>
      <c r="V44" s="115">
        <f t="shared" si="18"/>
        <v>218520.2190679973</v>
      </c>
      <c r="W44" s="115">
        <f t="shared" si="18"/>
        <v>222890.62344935726</v>
      </c>
      <c r="X44" s="115">
        <f t="shared" si="18"/>
        <v>227348.43591834442</v>
      </c>
      <c r="Y44" s="115">
        <f t="shared" si="18"/>
        <v>231895.40463671132</v>
      </c>
      <c r="Z44" s="115">
        <f t="shared" si="18"/>
        <v>236533.31272944555</v>
      </c>
      <c r="AA44" s="115">
        <f t="shared" si="18"/>
        <v>241263.97898403447</v>
      </c>
      <c r="AB44" s="115">
        <f t="shared" si="18"/>
        <v>246089.25856371518</v>
      </c>
      <c r="AC44" s="115">
        <f t="shared" si="18"/>
        <v>251011.04373498948</v>
      </c>
      <c r="AD44" s="115">
        <f t="shared" si="18"/>
        <v>256031.26460968927</v>
      </c>
      <c r="AE44" s="115">
        <f t="shared" si="18"/>
        <v>261151.88990188306</v>
      </c>
      <c r="AF44" s="115">
        <f t="shared" si="18"/>
        <v>266374.9276999207</v>
      </c>
      <c r="AG44" s="115">
        <f t="shared" si="18"/>
        <v>271702.42625391914</v>
      </c>
      <c r="AH44" s="115">
        <f t="shared" si="18"/>
        <v>277136.47477899754</v>
      </c>
      <c r="AI44" s="115">
        <f t="shared" si="18"/>
        <v>282679.2042745775</v>
      </c>
      <c r="AJ44" s="115">
        <f t="shared" si="18"/>
        <v>288332.78836006904</v>
      </c>
      <c r="AK44" s="115">
        <f t="shared" si="18"/>
        <v>294099.4441272704</v>
      </c>
      <c r="AL44" s="115">
        <f t="shared" si="18"/>
        <v>299981.43300981587</v>
      </c>
      <c r="AM44" s="115">
        <f t="shared" si="18"/>
        <v>305981.0616700122</v>
      </c>
      <c r="AN44" s="115">
        <f t="shared" si="18"/>
        <v>312100.68290341244</v>
      </c>
      <c r="AO44" s="115">
        <f t="shared" si="18"/>
        <v>318342.6965614807</v>
      </c>
      <c r="AP44" s="115">
        <f t="shared" si="18"/>
        <v>324709.5504927103</v>
      </c>
      <c r="AQ44" s="115">
        <f t="shared" si="18"/>
        <v>331203.7415025645</v>
      </c>
      <c r="AR44" s="115">
        <f t="shared" si="18"/>
        <v>337827.8163326158</v>
      </c>
      <c r="AS44" s="115">
        <f t="shared" si="18"/>
        <v>344584.3726592681</v>
      </c>
      <c r="AT44" s="115">
        <f t="shared" si="18"/>
        <v>351476.0601124535</v>
      </c>
      <c r="AU44" s="115">
        <f t="shared" si="18"/>
        <v>358505.5813147026</v>
      </c>
      <c r="AV44" s="115">
        <f t="shared" si="18"/>
        <v>365675.6929409966</v>
      </c>
      <c r="AW44" s="115">
        <f t="shared" si="18"/>
        <v>372989.2067998166</v>
      </c>
      <c r="AX44" s="115">
        <f t="shared" si="18"/>
        <v>380448.99093581294</v>
      </c>
      <c r="AY44" s="115">
        <f t="shared" si="18"/>
        <v>388057.9707545292</v>
      </c>
      <c r="AZ44" s="115">
        <f t="shared" si="18"/>
        <v>395819.13016961975</v>
      </c>
      <c r="BA44" s="115">
        <f t="shared" si="18"/>
        <v>403735.51277301216</v>
      </c>
    </row>
    <row r="45" spans="2:53" ht="15">
      <c r="B45" s="172" t="s">
        <v>175</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row>
    <row r="47" spans="2:59" ht="15">
      <c r="B47" s="172" t="s">
        <v>90</v>
      </c>
      <c r="C47" s="117">
        <f>Modèle!C84</f>
        <v>0.02</v>
      </c>
      <c r="D47" s="117">
        <f>Modèle!D84</f>
        <v>0.02</v>
      </c>
      <c r="E47" s="117">
        <f>Modèle!E84</f>
        <v>0.02</v>
      </c>
      <c r="F47" s="117">
        <f>Modèle!F84</f>
        <v>0.02</v>
      </c>
      <c r="G47" s="117">
        <f>Modèle!G84</f>
        <v>0.02</v>
      </c>
      <c r="H47" s="117">
        <f>Modèle!H84</f>
        <v>0.02</v>
      </c>
      <c r="I47" s="117">
        <f>Modèle!I84</f>
        <v>0.02</v>
      </c>
      <c r="J47" s="117">
        <f>Modèle!J84</f>
        <v>0.02</v>
      </c>
      <c r="K47" s="117">
        <f>Modèle!K84</f>
        <v>0.02</v>
      </c>
      <c r="L47" s="117">
        <f>Modèle!L84</f>
        <v>0.02</v>
      </c>
      <c r="M47" s="117">
        <f>Modèle!M84</f>
        <v>0.02</v>
      </c>
      <c r="N47" s="117">
        <f>Modèle!N84</f>
        <v>0.02</v>
      </c>
      <c r="O47" s="117">
        <f>Modèle!O84</f>
        <v>0.02</v>
      </c>
      <c r="P47" s="117">
        <f>Modèle!P84</f>
        <v>0.02</v>
      </c>
      <c r="Q47" s="117">
        <f>Modèle!Q84</f>
        <v>0.02</v>
      </c>
      <c r="R47" s="117">
        <f>Modèle!R84</f>
        <v>0.02</v>
      </c>
      <c r="S47" s="117">
        <f>Modèle!S84</f>
        <v>0.02</v>
      </c>
      <c r="T47" s="117">
        <f>Modèle!T84</f>
        <v>0.02</v>
      </c>
      <c r="U47" s="117">
        <f>Modèle!U84</f>
        <v>0.02</v>
      </c>
      <c r="V47" s="117">
        <f>Modèle!V84</f>
        <v>0.02</v>
      </c>
      <c r="W47" s="117">
        <f>Modèle!W84</f>
        <v>0.02</v>
      </c>
      <c r="X47" s="117">
        <f>Modèle!X84</f>
        <v>0.02</v>
      </c>
      <c r="Y47" s="117">
        <f>Modèle!Y84</f>
        <v>0.02</v>
      </c>
      <c r="Z47" s="117">
        <f>Modèle!Z84</f>
        <v>0.02</v>
      </c>
      <c r="AA47" s="117">
        <f>Modèle!AA84</f>
        <v>0.02</v>
      </c>
      <c r="AB47" s="117">
        <f>Modèle!AB84</f>
        <v>0.02</v>
      </c>
      <c r="AC47" s="117">
        <f>Modèle!AC84</f>
        <v>0.02</v>
      </c>
      <c r="AD47" s="117">
        <f>Modèle!AD84</f>
        <v>0.02</v>
      </c>
      <c r="AE47" s="117">
        <f>Modèle!AE84</f>
        <v>0.02</v>
      </c>
      <c r="AF47" s="117">
        <f>Modèle!AF84</f>
        <v>0.02</v>
      </c>
      <c r="AG47" s="117">
        <f>Modèle!AG84</f>
        <v>0.02</v>
      </c>
      <c r="AH47" s="117">
        <f>Modèle!AH84</f>
        <v>0.02</v>
      </c>
      <c r="AI47" s="117">
        <f>Modèle!AI84</f>
        <v>0.02</v>
      </c>
      <c r="AJ47" s="117">
        <f>Modèle!AJ84</f>
        <v>0.02</v>
      </c>
      <c r="AK47" s="117">
        <f>Modèle!AK84</f>
        <v>0.02</v>
      </c>
      <c r="AL47" s="117">
        <f>Modèle!AL84</f>
        <v>0.02</v>
      </c>
      <c r="AM47" s="117">
        <f>Modèle!AM84</f>
        <v>0.02</v>
      </c>
      <c r="AN47" s="117">
        <f>Modèle!AN84</f>
        <v>0.02</v>
      </c>
      <c r="AO47" s="117">
        <f>Modèle!AO84</f>
        <v>0.02</v>
      </c>
      <c r="AP47" s="117">
        <f>Modèle!AP84</f>
        <v>0.02</v>
      </c>
      <c r="AQ47" s="117">
        <f>Modèle!AQ84</f>
        <v>0.02</v>
      </c>
      <c r="AR47" s="117">
        <f>Modèle!AR84</f>
        <v>0.02</v>
      </c>
      <c r="AS47" s="117">
        <f>Modèle!AS84</f>
        <v>0.02</v>
      </c>
      <c r="AT47" s="117">
        <f>Modèle!AT84</f>
        <v>0.02</v>
      </c>
      <c r="AU47" s="117">
        <f>Modèle!AU84</f>
        <v>0.02</v>
      </c>
      <c r="AV47" s="117">
        <f>Modèle!AV84</f>
        <v>0.02</v>
      </c>
      <c r="AW47" s="117">
        <f>Modèle!AW84</f>
        <v>0.02</v>
      </c>
      <c r="AX47" s="117">
        <f>Modèle!AX84</f>
        <v>0.02</v>
      </c>
      <c r="AY47" s="117">
        <f>Modèle!AY84</f>
        <v>0.02</v>
      </c>
      <c r="AZ47" s="117">
        <f>Modèle!AZ84</f>
        <v>0.02</v>
      </c>
      <c r="BA47" s="117">
        <f>Modèle!BA84</f>
        <v>0.02</v>
      </c>
      <c r="BB47" s="80"/>
      <c r="BC47" s="80"/>
      <c r="BD47" s="80"/>
      <c r="BE47" s="80"/>
      <c r="BF47" s="80"/>
      <c r="BG47" s="80"/>
    </row>
    <row r="49" spans="2:53" ht="15">
      <c r="B49" s="172" t="s">
        <v>170</v>
      </c>
      <c r="C49" s="121">
        <v>0</v>
      </c>
      <c r="D49" s="121">
        <f>C49</f>
        <v>0</v>
      </c>
      <c r="E49" s="121">
        <f aca="true" t="shared" si="19" ref="E49:BA54">D49</f>
        <v>0</v>
      </c>
      <c r="F49" s="121">
        <f t="shared" si="19"/>
        <v>0</v>
      </c>
      <c r="G49" s="121">
        <f t="shared" si="19"/>
        <v>0</v>
      </c>
      <c r="H49" s="121">
        <f t="shared" si="19"/>
        <v>0</v>
      </c>
      <c r="I49" s="121">
        <f t="shared" si="19"/>
        <v>0</v>
      </c>
      <c r="J49" s="121">
        <f t="shared" si="19"/>
        <v>0</v>
      </c>
      <c r="K49" s="121">
        <f t="shared" si="19"/>
        <v>0</v>
      </c>
      <c r="L49" s="121">
        <f t="shared" si="19"/>
        <v>0</v>
      </c>
      <c r="M49" s="121">
        <f t="shared" si="19"/>
        <v>0</v>
      </c>
      <c r="N49" s="121">
        <f t="shared" si="19"/>
        <v>0</v>
      </c>
      <c r="O49" s="121">
        <f t="shared" si="19"/>
        <v>0</v>
      </c>
      <c r="P49" s="121">
        <f t="shared" si="19"/>
        <v>0</v>
      </c>
      <c r="Q49" s="121">
        <f t="shared" si="19"/>
        <v>0</v>
      </c>
      <c r="R49" s="121">
        <f t="shared" si="19"/>
        <v>0</v>
      </c>
      <c r="S49" s="121">
        <f t="shared" si="19"/>
        <v>0</v>
      </c>
      <c r="T49" s="121">
        <f t="shared" si="19"/>
        <v>0</v>
      </c>
      <c r="U49" s="121">
        <f t="shared" si="19"/>
        <v>0</v>
      </c>
      <c r="V49" s="121">
        <f t="shared" si="19"/>
        <v>0</v>
      </c>
      <c r="W49" s="121">
        <f t="shared" si="19"/>
        <v>0</v>
      </c>
      <c r="X49" s="121">
        <f t="shared" si="19"/>
        <v>0</v>
      </c>
      <c r="Y49" s="121">
        <f t="shared" si="19"/>
        <v>0</v>
      </c>
      <c r="Z49" s="121">
        <f t="shared" si="19"/>
        <v>0</v>
      </c>
      <c r="AA49" s="121">
        <f t="shared" si="19"/>
        <v>0</v>
      </c>
      <c r="AB49" s="121">
        <f t="shared" si="19"/>
        <v>0</v>
      </c>
      <c r="AC49" s="121">
        <f t="shared" si="19"/>
        <v>0</v>
      </c>
      <c r="AD49" s="121">
        <f t="shared" si="19"/>
        <v>0</v>
      </c>
      <c r="AE49" s="121">
        <f t="shared" si="19"/>
        <v>0</v>
      </c>
      <c r="AF49" s="121">
        <f t="shared" si="19"/>
        <v>0</v>
      </c>
      <c r="AG49" s="121">
        <f t="shared" si="19"/>
        <v>0</v>
      </c>
      <c r="AH49" s="121">
        <f t="shared" si="19"/>
        <v>0</v>
      </c>
      <c r="AI49" s="121">
        <f t="shared" si="19"/>
        <v>0</v>
      </c>
      <c r="AJ49" s="121">
        <f t="shared" si="19"/>
        <v>0</v>
      </c>
      <c r="AK49" s="121">
        <f t="shared" si="19"/>
        <v>0</v>
      </c>
      <c r="AL49" s="121">
        <f t="shared" si="19"/>
        <v>0</v>
      </c>
      <c r="AM49" s="121">
        <f t="shared" si="19"/>
        <v>0</v>
      </c>
      <c r="AN49" s="121">
        <f t="shared" si="19"/>
        <v>0</v>
      </c>
      <c r="AO49" s="121">
        <f t="shared" si="19"/>
        <v>0</v>
      </c>
      <c r="AP49" s="121">
        <f t="shared" si="19"/>
        <v>0</v>
      </c>
      <c r="AQ49" s="121">
        <f t="shared" si="19"/>
        <v>0</v>
      </c>
      <c r="AR49" s="121">
        <f t="shared" si="19"/>
        <v>0</v>
      </c>
      <c r="AS49" s="121">
        <f t="shared" si="19"/>
        <v>0</v>
      </c>
      <c r="AT49" s="121">
        <f t="shared" si="19"/>
        <v>0</v>
      </c>
      <c r="AU49" s="121">
        <f t="shared" si="19"/>
        <v>0</v>
      </c>
      <c r="AV49" s="121">
        <f t="shared" si="19"/>
        <v>0</v>
      </c>
      <c r="AW49" s="121">
        <f t="shared" si="19"/>
        <v>0</v>
      </c>
      <c r="AX49" s="121">
        <f t="shared" si="19"/>
        <v>0</v>
      </c>
      <c r="AY49" s="121">
        <f t="shared" si="19"/>
        <v>0</v>
      </c>
      <c r="AZ49" s="121">
        <f t="shared" si="19"/>
        <v>0</v>
      </c>
      <c r="BA49" s="121">
        <f t="shared" si="19"/>
        <v>0</v>
      </c>
    </row>
    <row r="50" spans="2:53" ht="15">
      <c r="B50" s="172" t="s">
        <v>171</v>
      </c>
      <c r="C50" s="121">
        <v>0.055</v>
      </c>
      <c r="D50" s="121">
        <f>C50</f>
        <v>0.055</v>
      </c>
      <c r="E50" s="121">
        <f>D50</f>
        <v>0.055</v>
      </c>
      <c r="F50" s="121">
        <f>E50</f>
        <v>0.055</v>
      </c>
      <c r="G50" s="121">
        <f>F50</f>
        <v>0.055</v>
      </c>
      <c r="H50" s="121">
        <f>G50</f>
        <v>0.055</v>
      </c>
      <c r="I50" s="121">
        <f>H50</f>
        <v>0.055</v>
      </c>
      <c r="J50" s="121">
        <f>I50</f>
        <v>0.055</v>
      </c>
      <c r="K50" s="121">
        <f>J50</f>
        <v>0.055</v>
      </c>
      <c r="L50" s="121">
        <f>K50</f>
        <v>0.055</v>
      </c>
      <c r="M50" s="121">
        <f>L50</f>
        <v>0.055</v>
      </c>
      <c r="N50" s="121">
        <f>M50</f>
        <v>0.055</v>
      </c>
      <c r="O50" s="121">
        <f>N50</f>
        <v>0.055</v>
      </c>
      <c r="P50" s="121">
        <f>O50</f>
        <v>0.055</v>
      </c>
      <c r="Q50" s="121">
        <f>P50</f>
        <v>0.055</v>
      </c>
      <c r="R50" s="121">
        <f>Q50</f>
        <v>0.055</v>
      </c>
      <c r="S50" s="121">
        <f>R50</f>
        <v>0.055</v>
      </c>
      <c r="T50" s="121">
        <f t="shared" si="19"/>
        <v>0.055</v>
      </c>
      <c r="U50" s="121">
        <f t="shared" si="19"/>
        <v>0.055</v>
      </c>
      <c r="V50" s="121">
        <f t="shared" si="19"/>
        <v>0.055</v>
      </c>
      <c r="W50" s="121">
        <f t="shared" si="19"/>
        <v>0.055</v>
      </c>
      <c r="X50" s="121">
        <f t="shared" si="19"/>
        <v>0.055</v>
      </c>
      <c r="Y50" s="121">
        <f t="shared" si="19"/>
        <v>0.055</v>
      </c>
      <c r="Z50" s="121">
        <f t="shared" si="19"/>
        <v>0.055</v>
      </c>
      <c r="AA50" s="121">
        <f t="shared" si="19"/>
        <v>0.055</v>
      </c>
      <c r="AB50" s="121">
        <f t="shared" si="19"/>
        <v>0.055</v>
      </c>
      <c r="AC50" s="121">
        <f t="shared" si="19"/>
        <v>0.055</v>
      </c>
      <c r="AD50" s="121">
        <f t="shared" si="19"/>
        <v>0.055</v>
      </c>
      <c r="AE50" s="121">
        <f t="shared" si="19"/>
        <v>0.055</v>
      </c>
      <c r="AF50" s="121">
        <f t="shared" si="19"/>
        <v>0.055</v>
      </c>
      <c r="AG50" s="121">
        <f t="shared" si="19"/>
        <v>0.055</v>
      </c>
      <c r="AH50" s="121">
        <f t="shared" si="19"/>
        <v>0.055</v>
      </c>
      <c r="AI50" s="121">
        <f t="shared" si="19"/>
        <v>0.055</v>
      </c>
      <c r="AJ50" s="121">
        <f t="shared" si="19"/>
        <v>0.055</v>
      </c>
      <c r="AK50" s="121">
        <f t="shared" si="19"/>
        <v>0.055</v>
      </c>
      <c r="AL50" s="121">
        <f t="shared" si="19"/>
        <v>0.055</v>
      </c>
      <c r="AM50" s="121">
        <f t="shared" si="19"/>
        <v>0.055</v>
      </c>
      <c r="AN50" s="121">
        <f t="shared" si="19"/>
        <v>0.055</v>
      </c>
      <c r="AO50" s="121">
        <f t="shared" si="19"/>
        <v>0.055</v>
      </c>
      <c r="AP50" s="121">
        <f t="shared" si="19"/>
        <v>0.055</v>
      </c>
      <c r="AQ50" s="121">
        <f t="shared" si="19"/>
        <v>0.055</v>
      </c>
      <c r="AR50" s="121">
        <f t="shared" si="19"/>
        <v>0.055</v>
      </c>
      <c r="AS50" s="121">
        <f t="shared" si="19"/>
        <v>0.055</v>
      </c>
      <c r="AT50" s="121">
        <f t="shared" si="19"/>
        <v>0.055</v>
      </c>
      <c r="AU50" s="121">
        <f t="shared" si="19"/>
        <v>0.055</v>
      </c>
      <c r="AV50" s="121">
        <f t="shared" si="19"/>
        <v>0.055</v>
      </c>
      <c r="AW50" s="121">
        <f t="shared" si="19"/>
        <v>0.055</v>
      </c>
      <c r="AX50" s="121">
        <f t="shared" si="19"/>
        <v>0.055</v>
      </c>
      <c r="AY50" s="121">
        <f t="shared" si="19"/>
        <v>0.055</v>
      </c>
      <c r="AZ50" s="121">
        <f t="shared" si="19"/>
        <v>0.055</v>
      </c>
      <c r="BA50" s="121">
        <f t="shared" si="19"/>
        <v>0.055</v>
      </c>
    </row>
    <row r="51" spans="2:53" ht="15">
      <c r="B51" s="172" t="s">
        <v>172</v>
      </c>
      <c r="C51" s="121">
        <v>0.14</v>
      </c>
      <c r="D51" s="121">
        <f>C51</f>
        <v>0.14</v>
      </c>
      <c r="E51" s="121">
        <f t="shared" si="19"/>
        <v>0.14</v>
      </c>
      <c r="F51" s="121">
        <f t="shared" si="19"/>
        <v>0.14</v>
      </c>
      <c r="G51" s="121">
        <f t="shared" si="19"/>
        <v>0.14</v>
      </c>
      <c r="H51" s="121">
        <f t="shared" si="19"/>
        <v>0.14</v>
      </c>
      <c r="I51" s="121">
        <f t="shared" si="19"/>
        <v>0.14</v>
      </c>
      <c r="J51" s="121">
        <f t="shared" si="19"/>
        <v>0.14</v>
      </c>
      <c r="K51" s="121">
        <f t="shared" si="19"/>
        <v>0.14</v>
      </c>
      <c r="L51" s="121">
        <f t="shared" si="19"/>
        <v>0.14</v>
      </c>
      <c r="M51" s="121">
        <f t="shared" si="19"/>
        <v>0.14</v>
      </c>
      <c r="N51" s="121">
        <f t="shared" si="19"/>
        <v>0.14</v>
      </c>
      <c r="O51" s="121">
        <f t="shared" si="19"/>
        <v>0.14</v>
      </c>
      <c r="P51" s="121">
        <f t="shared" si="19"/>
        <v>0.14</v>
      </c>
      <c r="Q51" s="121">
        <f t="shared" si="19"/>
        <v>0.14</v>
      </c>
      <c r="R51" s="121">
        <f t="shared" si="19"/>
        <v>0.14</v>
      </c>
      <c r="S51" s="121">
        <f t="shared" si="19"/>
        <v>0.14</v>
      </c>
      <c r="T51" s="121">
        <f t="shared" si="19"/>
        <v>0.14</v>
      </c>
      <c r="U51" s="121">
        <f t="shared" si="19"/>
        <v>0.14</v>
      </c>
      <c r="V51" s="121">
        <f t="shared" si="19"/>
        <v>0.14</v>
      </c>
      <c r="W51" s="121">
        <f t="shared" si="19"/>
        <v>0.14</v>
      </c>
      <c r="X51" s="121">
        <f t="shared" si="19"/>
        <v>0.14</v>
      </c>
      <c r="Y51" s="121">
        <f t="shared" si="19"/>
        <v>0.14</v>
      </c>
      <c r="Z51" s="121">
        <f t="shared" si="19"/>
        <v>0.14</v>
      </c>
      <c r="AA51" s="121">
        <f t="shared" si="19"/>
        <v>0.14</v>
      </c>
      <c r="AB51" s="121">
        <f t="shared" si="19"/>
        <v>0.14</v>
      </c>
      <c r="AC51" s="121">
        <f t="shared" si="19"/>
        <v>0.14</v>
      </c>
      <c r="AD51" s="121">
        <f t="shared" si="19"/>
        <v>0.14</v>
      </c>
      <c r="AE51" s="121">
        <f t="shared" si="19"/>
        <v>0.14</v>
      </c>
      <c r="AF51" s="121">
        <f t="shared" si="19"/>
        <v>0.14</v>
      </c>
      <c r="AG51" s="121">
        <f t="shared" si="19"/>
        <v>0.14</v>
      </c>
      <c r="AH51" s="121">
        <f t="shared" si="19"/>
        <v>0.14</v>
      </c>
      <c r="AI51" s="121">
        <f t="shared" si="19"/>
        <v>0.14</v>
      </c>
      <c r="AJ51" s="121">
        <f t="shared" si="19"/>
        <v>0.14</v>
      </c>
      <c r="AK51" s="121">
        <f t="shared" si="19"/>
        <v>0.14</v>
      </c>
      <c r="AL51" s="121">
        <f t="shared" si="19"/>
        <v>0.14</v>
      </c>
      <c r="AM51" s="121">
        <f t="shared" si="19"/>
        <v>0.14</v>
      </c>
      <c r="AN51" s="121">
        <f t="shared" si="19"/>
        <v>0.14</v>
      </c>
      <c r="AO51" s="121">
        <f t="shared" si="19"/>
        <v>0.14</v>
      </c>
      <c r="AP51" s="121">
        <f t="shared" si="19"/>
        <v>0.14</v>
      </c>
      <c r="AQ51" s="121">
        <f t="shared" si="19"/>
        <v>0.14</v>
      </c>
      <c r="AR51" s="121">
        <f t="shared" si="19"/>
        <v>0.14</v>
      </c>
      <c r="AS51" s="121">
        <f t="shared" si="19"/>
        <v>0.14</v>
      </c>
      <c r="AT51" s="121">
        <f t="shared" si="19"/>
        <v>0.14</v>
      </c>
      <c r="AU51" s="121">
        <f t="shared" si="19"/>
        <v>0.14</v>
      </c>
      <c r="AV51" s="121">
        <f t="shared" si="19"/>
        <v>0.14</v>
      </c>
      <c r="AW51" s="121">
        <f t="shared" si="19"/>
        <v>0.14</v>
      </c>
      <c r="AX51" s="121">
        <f t="shared" si="19"/>
        <v>0.14</v>
      </c>
      <c r="AY51" s="121">
        <f t="shared" si="19"/>
        <v>0.14</v>
      </c>
      <c r="AZ51" s="121">
        <f t="shared" si="19"/>
        <v>0.14</v>
      </c>
      <c r="BA51" s="121">
        <f t="shared" si="19"/>
        <v>0.14</v>
      </c>
    </row>
    <row r="52" spans="2:53" ht="15">
      <c r="B52" s="172" t="s">
        <v>173</v>
      </c>
      <c r="C52" s="121">
        <v>0.3</v>
      </c>
      <c r="D52" s="121">
        <f>C52</f>
        <v>0.3</v>
      </c>
      <c r="E52" s="121">
        <f t="shared" si="19"/>
        <v>0.3</v>
      </c>
      <c r="F52" s="121">
        <f t="shared" si="19"/>
        <v>0.3</v>
      </c>
      <c r="G52" s="121">
        <f t="shared" si="19"/>
        <v>0.3</v>
      </c>
      <c r="H52" s="121">
        <f t="shared" si="19"/>
        <v>0.3</v>
      </c>
      <c r="I52" s="121">
        <f t="shared" si="19"/>
        <v>0.3</v>
      </c>
      <c r="J52" s="121">
        <f t="shared" si="19"/>
        <v>0.3</v>
      </c>
      <c r="K52" s="121">
        <f t="shared" si="19"/>
        <v>0.3</v>
      </c>
      <c r="L52" s="121">
        <f t="shared" si="19"/>
        <v>0.3</v>
      </c>
      <c r="M52" s="121">
        <f t="shared" si="19"/>
        <v>0.3</v>
      </c>
      <c r="N52" s="121">
        <f t="shared" si="19"/>
        <v>0.3</v>
      </c>
      <c r="O52" s="121">
        <f t="shared" si="19"/>
        <v>0.3</v>
      </c>
      <c r="P52" s="121">
        <f t="shared" si="19"/>
        <v>0.3</v>
      </c>
      <c r="Q52" s="121">
        <f t="shared" si="19"/>
        <v>0.3</v>
      </c>
      <c r="R52" s="121">
        <f t="shared" si="19"/>
        <v>0.3</v>
      </c>
      <c r="S52" s="121">
        <f t="shared" si="19"/>
        <v>0.3</v>
      </c>
      <c r="T52" s="121">
        <f t="shared" si="19"/>
        <v>0.3</v>
      </c>
      <c r="U52" s="121">
        <f t="shared" si="19"/>
        <v>0.3</v>
      </c>
      <c r="V52" s="121">
        <f t="shared" si="19"/>
        <v>0.3</v>
      </c>
      <c r="W52" s="121">
        <f t="shared" si="19"/>
        <v>0.3</v>
      </c>
      <c r="X52" s="121">
        <f t="shared" si="19"/>
        <v>0.3</v>
      </c>
      <c r="Y52" s="121">
        <f t="shared" si="19"/>
        <v>0.3</v>
      </c>
      <c r="Z52" s="121">
        <f t="shared" si="19"/>
        <v>0.3</v>
      </c>
      <c r="AA52" s="121">
        <f t="shared" si="19"/>
        <v>0.3</v>
      </c>
      <c r="AB52" s="121">
        <f t="shared" si="19"/>
        <v>0.3</v>
      </c>
      <c r="AC52" s="121">
        <f t="shared" si="19"/>
        <v>0.3</v>
      </c>
      <c r="AD52" s="121">
        <f t="shared" si="19"/>
        <v>0.3</v>
      </c>
      <c r="AE52" s="121">
        <f t="shared" si="19"/>
        <v>0.3</v>
      </c>
      <c r="AF52" s="121">
        <f t="shared" si="19"/>
        <v>0.3</v>
      </c>
      <c r="AG52" s="121">
        <f t="shared" si="19"/>
        <v>0.3</v>
      </c>
      <c r="AH52" s="121">
        <f t="shared" si="19"/>
        <v>0.3</v>
      </c>
      <c r="AI52" s="121">
        <f t="shared" si="19"/>
        <v>0.3</v>
      </c>
      <c r="AJ52" s="121">
        <f t="shared" si="19"/>
        <v>0.3</v>
      </c>
      <c r="AK52" s="121">
        <f t="shared" si="19"/>
        <v>0.3</v>
      </c>
      <c r="AL52" s="121">
        <f t="shared" si="19"/>
        <v>0.3</v>
      </c>
      <c r="AM52" s="121">
        <f t="shared" si="19"/>
        <v>0.3</v>
      </c>
      <c r="AN52" s="121">
        <f t="shared" si="19"/>
        <v>0.3</v>
      </c>
      <c r="AO52" s="121">
        <f t="shared" si="19"/>
        <v>0.3</v>
      </c>
      <c r="AP52" s="121">
        <f t="shared" si="19"/>
        <v>0.3</v>
      </c>
      <c r="AQ52" s="121">
        <f t="shared" si="19"/>
        <v>0.3</v>
      </c>
      <c r="AR52" s="121">
        <f t="shared" si="19"/>
        <v>0.3</v>
      </c>
      <c r="AS52" s="121">
        <f t="shared" si="19"/>
        <v>0.3</v>
      </c>
      <c r="AT52" s="121">
        <f t="shared" si="19"/>
        <v>0.3</v>
      </c>
      <c r="AU52" s="121">
        <f t="shared" si="19"/>
        <v>0.3</v>
      </c>
      <c r="AV52" s="121">
        <f t="shared" si="19"/>
        <v>0.3</v>
      </c>
      <c r="AW52" s="121">
        <f t="shared" si="19"/>
        <v>0.3</v>
      </c>
      <c r="AX52" s="121">
        <f t="shared" si="19"/>
        <v>0.3</v>
      </c>
      <c r="AY52" s="121">
        <f t="shared" si="19"/>
        <v>0.3</v>
      </c>
      <c r="AZ52" s="121">
        <f t="shared" si="19"/>
        <v>0.3</v>
      </c>
      <c r="BA52" s="121">
        <f t="shared" si="19"/>
        <v>0.3</v>
      </c>
    </row>
    <row r="53" spans="2:53" ht="15">
      <c r="B53" s="172" t="s">
        <v>174</v>
      </c>
      <c r="C53" s="121">
        <v>0.41</v>
      </c>
      <c r="D53" s="121">
        <f>C53</f>
        <v>0.41</v>
      </c>
      <c r="E53" s="121">
        <f t="shared" si="19"/>
        <v>0.41</v>
      </c>
      <c r="F53" s="121">
        <f t="shared" si="19"/>
        <v>0.41</v>
      </c>
      <c r="G53" s="121">
        <f t="shared" si="19"/>
        <v>0.41</v>
      </c>
      <c r="H53" s="121">
        <f t="shared" si="19"/>
        <v>0.41</v>
      </c>
      <c r="I53" s="121">
        <f t="shared" si="19"/>
        <v>0.41</v>
      </c>
      <c r="J53" s="121">
        <f t="shared" si="19"/>
        <v>0.41</v>
      </c>
      <c r="K53" s="121">
        <f t="shared" si="19"/>
        <v>0.41</v>
      </c>
      <c r="L53" s="121">
        <f t="shared" si="19"/>
        <v>0.41</v>
      </c>
      <c r="M53" s="121">
        <f t="shared" si="19"/>
        <v>0.41</v>
      </c>
      <c r="N53" s="121">
        <f t="shared" si="19"/>
        <v>0.41</v>
      </c>
      <c r="O53" s="121">
        <f t="shared" si="19"/>
        <v>0.41</v>
      </c>
      <c r="P53" s="121">
        <f t="shared" si="19"/>
        <v>0.41</v>
      </c>
      <c r="Q53" s="121">
        <f t="shared" si="19"/>
        <v>0.41</v>
      </c>
      <c r="R53" s="121">
        <f t="shared" si="19"/>
        <v>0.41</v>
      </c>
      <c r="S53" s="121">
        <f t="shared" si="19"/>
        <v>0.41</v>
      </c>
      <c r="T53" s="121">
        <f t="shared" si="19"/>
        <v>0.41</v>
      </c>
      <c r="U53" s="121">
        <f t="shared" si="19"/>
        <v>0.41</v>
      </c>
      <c r="V53" s="121">
        <f t="shared" si="19"/>
        <v>0.41</v>
      </c>
      <c r="W53" s="121">
        <f t="shared" si="19"/>
        <v>0.41</v>
      </c>
      <c r="X53" s="121">
        <f t="shared" si="19"/>
        <v>0.41</v>
      </c>
      <c r="Y53" s="121">
        <f t="shared" si="19"/>
        <v>0.41</v>
      </c>
      <c r="Z53" s="121">
        <f t="shared" si="19"/>
        <v>0.41</v>
      </c>
      <c r="AA53" s="121">
        <f t="shared" si="19"/>
        <v>0.41</v>
      </c>
      <c r="AB53" s="121">
        <f t="shared" si="19"/>
        <v>0.41</v>
      </c>
      <c r="AC53" s="121">
        <f t="shared" si="19"/>
        <v>0.41</v>
      </c>
      <c r="AD53" s="121">
        <f t="shared" si="19"/>
        <v>0.41</v>
      </c>
      <c r="AE53" s="121">
        <f t="shared" si="19"/>
        <v>0.41</v>
      </c>
      <c r="AF53" s="121">
        <f t="shared" si="19"/>
        <v>0.41</v>
      </c>
      <c r="AG53" s="121">
        <f t="shared" si="19"/>
        <v>0.41</v>
      </c>
      <c r="AH53" s="121">
        <f t="shared" si="19"/>
        <v>0.41</v>
      </c>
      <c r="AI53" s="121">
        <f t="shared" si="19"/>
        <v>0.41</v>
      </c>
      <c r="AJ53" s="121">
        <f t="shared" si="19"/>
        <v>0.41</v>
      </c>
      <c r="AK53" s="121">
        <f t="shared" si="19"/>
        <v>0.41</v>
      </c>
      <c r="AL53" s="121">
        <f t="shared" si="19"/>
        <v>0.41</v>
      </c>
      <c r="AM53" s="121">
        <f t="shared" si="19"/>
        <v>0.41</v>
      </c>
      <c r="AN53" s="121">
        <f t="shared" si="19"/>
        <v>0.41</v>
      </c>
      <c r="AO53" s="121">
        <f t="shared" si="19"/>
        <v>0.41</v>
      </c>
      <c r="AP53" s="121">
        <f t="shared" si="19"/>
        <v>0.41</v>
      </c>
      <c r="AQ53" s="121">
        <f t="shared" si="19"/>
        <v>0.41</v>
      </c>
      <c r="AR53" s="121">
        <f t="shared" si="19"/>
        <v>0.41</v>
      </c>
      <c r="AS53" s="121">
        <f t="shared" si="19"/>
        <v>0.41</v>
      </c>
      <c r="AT53" s="121">
        <f t="shared" si="19"/>
        <v>0.41</v>
      </c>
      <c r="AU53" s="121">
        <f t="shared" si="19"/>
        <v>0.41</v>
      </c>
      <c r="AV53" s="121">
        <f t="shared" si="19"/>
        <v>0.41</v>
      </c>
      <c r="AW53" s="121">
        <f t="shared" si="19"/>
        <v>0.41</v>
      </c>
      <c r="AX53" s="121">
        <f t="shared" si="19"/>
        <v>0.41</v>
      </c>
      <c r="AY53" s="121">
        <f t="shared" si="19"/>
        <v>0.41</v>
      </c>
      <c r="AZ53" s="121">
        <f t="shared" si="19"/>
        <v>0.41</v>
      </c>
      <c r="BA53" s="121">
        <f t="shared" si="19"/>
        <v>0.41</v>
      </c>
    </row>
    <row r="54" spans="2:53" ht="15">
      <c r="B54" s="172" t="s">
        <v>175</v>
      </c>
      <c r="C54" s="121">
        <v>0.45</v>
      </c>
      <c r="D54" s="121">
        <f>C54</f>
        <v>0.45</v>
      </c>
      <c r="E54" s="121">
        <f t="shared" si="19"/>
        <v>0.45</v>
      </c>
      <c r="F54" s="121">
        <f t="shared" si="19"/>
        <v>0.45</v>
      </c>
      <c r="G54" s="121">
        <f t="shared" si="19"/>
        <v>0.45</v>
      </c>
      <c r="H54" s="121">
        <f t="shared" si="19"/>
        <v>0.45</v>
      </c>
      <c r="I54" s="121">
        <f t="shared" si="19"/>
        <v>0.45</v>
      </c>
      <c r="J54" s="121">
        <f t="shared" si="19"/>
        <v>0.45</v>
      </c>
      <c r="K54" s="121">
        <f t="shared" si="19"/>
        <v>0.45</v>
      </c>
      <c r="L54" s="121">
        <f t="shared" si="19"/>
        <v>0.45</v>
      </c>
      <c r="M54" s="121">
        <f t="shared" si="19"/>
        <v>0.45</v>
      </c>
      <c r="N54" s="121">
        <f t="shared" si="19"/>
        <v>0.45</v>
      </c>
      <c r="O54" s="121">
        <f t="shared" si="19"/>
        <v>0.45</v>
      </c>
      <c r="P54" s="121">
        <f t="shared" si="19"/>
        <v>0.45</v>
      </c>
      <c r="Q54" s="121">
        <f t="shared" si="19"/>
        <v>0.45</v>
      </c>
      <c r="R54" s="121">
        <f t="shared" si="19"/>
        <v>0.45</v>
      </c>
      <c r="S54" s="121">
        <f t="shared" si="19"/>
        <v>0.45</v>
      </c>
      <c r="T54" s="121">
        <f t="shared" si="19"/>
        <v>0.45</v>
      </c>
      <c r="U54" s="121">
        <f t="shared" si="19"/>
        <v>0.45</v>
      </c>
      <c r="V54" s="121">
        <f t="shared" si="19"/>
        <v>0.45</v>
      </c>
      <c r="W54" s="121">
        <f t="shared" si="19"/>
        <v>0.45</v>
      </c>
      <c r="X54" s="121">
        <f t="shared" si="19"/>
        <v>0.45</v>
      </c>
      <c r="Y54" s="121">
        <f t="shared" si="19"/>
        <v>0.45</v>
      </c>
      <c r="Z54" s="121">
        <f t="shared" si="19"/>
        <v>0.45</v>
      </c>
      <c r="AA54" s="121">
        <f t="shared" si="19"/>
        <v>0.45</v>
      </c>
      <c r="AB54" s="121">
        <f t="shared" si="19"/>
        <v>0.45</v>
      </c>
      <c r="AC54" s="121">
        <f t="shared" si="19"/>
        <v>0.45</v>
      </c>
      <c r="AD54" s="121">
        <f aca="true" t="shared" si="20" ref="AD54:BA54">AC54</f>
        <v>0.45</v>
      </c>
      <c r="AE54" s="121">
        <f t="shared" si="20"/>
        <v>0.45</v>
      </c>
      <c r="AF54" s="121">
        <f t="shared" si="20"/>
        <v>0.45</v>
      </c>
      <c r="AG54" s="121">
        <f t="shared" si="20"/>
        <v>0.45</v>
      </c>
      <c r="AH54" s="121">
        <f t="shared" si="20"/>
        <v>0.45</v>
      </c>
      <c r="AI54" s="121">
        <f t="shared" si="20"/>
        <v>0.45</v>
      </c>
      <c r="AJ54" s="121">
        <f t="shared" si="20"/>
        <v>0.45</v>
      </c>
      <c r="AK54" s="121">
        <f t="shared" si="20"/>
        <v>0.45</v>
      </c>
      <c r="AL54" s="121">
        <f t="shared" si="20"/>
        <v>0.45</v>
      </c>
      <c r="AM54" s="121">
        <f t="shared" si="20"/>
        <v>0.45</v>
      </c>
      <c r="AN54" s="121">
        <f t="shared" si="20"/>
        <v>0.45</v>
      </c>
      <c r="AO54" s="121">
        <f t="shared" si="20"/>
        <v>0.45</v>
      </c>
      <c r="AP54" s="121">
        <f t="shared" si="20"/>
        <v>0.45</v>
      </c>
      <c r="AQ54" s="121">
        <f t="shared" si="20"/>
        <v>0.45</v>
      </c>
      <c r="AR54" s="121">
        <f t="shared" si="20"/>
        <v>0.45</v>
      </c>
      <c r="AS54" s="121">
        <f t="shared" si="20"/>
        <v>0.45</v>
      </c>
      <c r="AT54" s="121">
        <f t="shared" si="20"/>
        <v>0.45</v>
      </c>
      <c r="AU54" s="121">
        <f t="shared" si="20"/>
        <v>0.45</v>
      </c>
      <c r="AV54" s="121">
        <f t="shared" si="20"/>
        <v>0.45</v>
      </c>
      <c r="AW54" s="121">
        <f t="shared" si="20"/>
        <v>0.45</v>
      </c>
      <c r="AX54" s="121">
        <f t="shared" si="20"/>
        <v>0.45</v>
      </c>
      <c r="AY54" s="121">
        <f t="shared" si="20"/>
        <v>0.45</v>
      </c>
      <c r="AZ54" s="121">
        <f t="shared" si="20"/>
        <v>0.45</v>
      </c>
      <c r="BA54" s="121">
        <f t="shared" si="20"/>
        <v>0.45</v>
      </c>
    </row>
    <row r="57" ht="15">
      <c r="B57" s="113" t="s">
        <v>307</v>
      </c>
    </row>
    <row r="59" spans="2:53" ht="15">
      <c r="B59" s="172" t="s">
        <v>170</v>
      </c>
      <c r="C59" s="115">
        <f>IF((Modèle!C$14+Modèle!C$17+Modèle!C$50)&gt;C40,C40,(Modèle!C$14+Modèle!C$17+Modèle!C$50)-C40)</f>
        <v>5693</v>
      </c>
      <c r="D59" s="115">
        <f>IF((Modèle!D$14+Modèle!D$17+Modèle!D$50)&gt;D40,D40,(Modèle!D$14+Modèle!D$17+Modèle!D$50)-D40)</f>
        <v>5806.86</v>
      </c>
      <c r="E59" s="115">
        <f>IF((Modèle!E$14+Modèle!E$17+Modèle!E$50)&gt;E40,E40,(Modèle!E$14+Modèle!E$17+Modèle!E$50)-E40)</f>
        <v>5922.9972</v>
      </c>
      <c r="F59" s="115">
        <f>IF((Modèle!F$14+Modèle!F$17+Modèle!F$50)&gt;F40,F40,(Modèle!F$14+Modèle!F$17+Modèle!F$50)-F40)</f>
        <v>6041.457144</v>
      </c>
      <c r="G59" s="115">
        <f>IF((Modèle!G$14+Modèle!G$17+Modèle!G$50)&gt;G40,G40,(Modèle!G$14+Modèle!G$17+Modèle!G$50)-G40)</f>
        <v>6162.28628688</v>
      </c>
      <c r="H59" s="115">
        <f>IF((Modèle!H$14+Modèle!H$17+Modèle!H$50)&gt;H40,H40,(Modèle!H$14+Modèle!H$17+Modèle!H$50)-H40)</f>
        <v>6285.5320126176</v>
      </c>
      <c r="I59" s="115">
        <f>IF((Modèle!I$14+Modèle!I$17+Modèle!I$50)&gt;I40,I40,(Modèle!I$14+Modèle!I$17+Modèle!I$50)-I40)</f>
        <v>6411.2426528699525</v>
      </c>
      <c r="J59" s="115">
        <f>IF((Modèle!J$14+Modèle!J$17+Modèle!J$50)&gt;J40,J40,(Modèle!J$14+Modèle!J$17+Modèle!J$50)-J40)</f>
        <v>6539.467505927351</v>
      </c>
      <c r="K59" s="115">
        <f>IF((Modèle!K$14+Modèle!K$17+Modèle!K$50)&gt;K40,K40,(Modèle!K$14+Modèle!K$17+Modèle!K$50)-K40)</f>
        <v>6670.2568560458985</v>
      </c>
      <c r="L59" s="115">
        <f>IF((Modèle!L$14+Modèle!L$17+Modèle!L$50)&gt;L40,L40,(Modèle!L$14+Modèle!L$17+Modèle!L$50)-L40)</f>
        <v>6803.6619931668165</v>
      </c>
      <c r="M59" s="115">
        <f>IF((Modèle!M$14+Modèle!M$17+Modèle!M$50)&gt;M40,M40,(Modèle!M$14+Modèle!M$17+Modèle!M$50)-M40)</f>
        <v>6939.735233030153</v>
      </c>
      <c r="N59" s="115">
        <f>IF((Modèle!N$14+Modèle!N$17+Modèle!N$50)&gt;N40,N40,(Modèle!N$14+Modèle!N$17+Modèle!N$50)-N40)</f>
        <v>7078.529937690756</v>
      </c>
      <c r="O59" s="115">
        <f>IF((Modèle!O$14+Modèle!O$17+Modèle!O$50)&gt;O40,O40,(Modèle!O$14+Modèle!O$17+Modèle!O$50)-O40)</f>
        <v>7220.100536444571</v>
      </c>
      <c r="P59" s="115">
        <f>IF((Modèle!P$14+Modèle!P$17+Modèle!P$50)&gt;P40,P40,(Modèle!P$14+Modèle!P$17+Modèle!P$50)-P40)</f>
        <v>7364.5025471734625</v>
      </c>
      <c r="Q59" s="115">
        <f>IF((Modèle!Q$14+Modèle!Q$17+Modèle!Q$50)&gt;Q40,Q40,(Modèle!Q$14+Modèle!Q$17+Modèle!Q$50)-Q40)</f>
        <v>7511.792598116932</v>
      </c>
      <c r="R59" s="115">
        <f>IF((Modèle!R$14+Modèle!R$17+Modèle!R$50)&gt;R40,R40,(Modèle!R$14+Modèle!R$17+Modèle!R$50)-R40)</f>
        <v>7662.02845007927</v>
      </c>
      <c r="S59" s="115">
        <f>IF((Modèle!S$14+Modèle!S$17+Modèle!S$50)&gt;S40,S40,(Modèle!S$14+Modèle!S$17+Modèle!S$50)-S40)</f>
        <v>7815.269019080856</v>
      </c>
      <c r="T59" s="115">
        <f>IF((Modèle!T$14+Modèle!T$17+Modèle!T$50)&gt;T40,T40,(Modèle!T$14+Modèle!T$17+Modèle!T$50)-T40)</f>
        <v>7971.574399462474</v>
      </c>
      <c r="U59" s="115">
        <f>IF((Modèle!U$14+Modèle!U$17+Modèle!U$50)&gt;U40,U40,(Modèle!U$14+Modèle!U$17+Modèle!U$50)-U40)</f>
        <v>8131.0058874517235</v>
      </c>
      <c r="V59" s="115">
        <f>IF((Modèle!V$14+Modèle!V$17+Modèle!V$50)&gt;V40,V40,(Modèle!V$14+Modèle!V$17+Modèle!V$50)-V40)</f>
        <v>8293.626005200758</v>
      </c>
      <c r="W59" s="115">
        <f>IF((Modèle!W$14+Modèle!W$17+Modèle!W$50)&gt;W40,W40,(Modèle!W$14+Modèle!W$17+Modèle!W$50)-W40)</f>
        <v>8459.498525304774</v>
      </c>
      <c r="X59" s="115">
        <f>IF((Modèle!X$14+Modèle!X$17+Modèle!X$50)&gt;X40,X40,(Modèle!X$14+Modèle!X$17+Modèle!X$50)-X40)</f>
        <v>8628.68849581087</v>
      </c>
      <c r="Y59" s="115">
        <f>IF((Modèle!Y$14+Modèle!Y$17+Modèle!Y$50)&gt;Y40,Y40,(Modèle!Y$14+Modèle!Y$17+Modèle!Y$50)-Y40)</f>
        <v>8801.262265727088</v>
      </c>
      <c r="Z59" s="115">
        <f>IF((Modèle!Z$14+Modèle!Z$17+Modèle!Z$50)&gt;Z40,Z40,(Modèle!Z$14+Modèle!Z$17+Modèle!Z$50)-Z40)</f>
        <v>8977.28751104163</v>
      </c>
      <c r="AA59" s="115">
        <f>IF((Modèle!AA$14+Modèle!AA$17+Modèle!AA$50)&gt;AA40,AA40,(Modèle!AA$14+Modèle!AA$17+Modèle!AA$50)-AA40)</f>
        <v>9156.833261262462</v>
      </c>
      <c r="AB59" s="115">
        <f>IF((Modèle!AB$14+Modèle!AB$17+Modèle!AB$50)&gt;AB40,AB40,(Modèle!AB$14+Modèle!AB$17+Modèle!AB$50)-AB40)</f>
        <v>9339.96992648771</v>
      </c>
      <c r="AC59" s="115">
        <f>IF((Modèle!AC$14+Modèle!AC$17+Modèle!AC$50)&gt;AC40,AC40,(Modèle!AC$14+Modèle!AC$17+Modèle!AC$50)-AC40)</f>
        <v>9526.769325017465</v>
      </c>
      <c r="AD59" s="115">
        <f>IF((Modèle!AD$14+Modèle!AD$17+Modèle!AD$50)&gt;AD40,AD40,(Modèle!AD$14+Modèle!AD$17+Modèle!AD$50)-AD40)</f>
        <v>9717.304711517814</v>
      </c>
      <c r="AE59" s="115">
        <f>IF((Modèle!AE$14+Modèle!AE$17+Modèle!AE$50)&gt;AE40,AE40,(Modèle!AE$14+Modèle!AE$17+Modèle!AE$50)-AE40)</f>
        <v>9911.650805748171</v>
      </c>
      <c r="AF59" s="115">
        <f>IF((Modèle!AF$14+Modèle!AF$17+Modèle!AF$50)&gt;AF40,AF40,(Modèle!AF$14+Modèle!AF$17+Modèle!AF$50)-AF40)</f>
        <v>10109.883821863135</v>
      </c>
      <c r="AG59" s="115">
        <f>IF((Modèle!AG$14+Modèle!AG$17+Modèle!AG$50)&gt;AG40,AG40,(Modèle!AG$14+Modèle!AG$17+Modèle!AG$50)-AG40)</f>
        <v>10312.081498300398</v>
      </c>
      <c r="AH59" s="115">
        <f>IF((Modèle!AH$14+Modèle!AH$17+Modèle!AH$50)&gt;AH40,AH40,(Modèle!AH$14+Modèle!AH$17+Modèle!AH$50)-AH40)</f>
        <v>10518.323128266407</v>
      </c>
      <c r="AI59" s="115">
        <f>IF((Modèle!AI$14+Modèle!AI$17+Modèle!AI$50)&gt;AI40,AI40,(Modèle!AI$14+Modèle!AI$17+Modèle!AI$50)-AI40)</f>
        <v>10728.689590831736</v>
      </c>
      <c r="AJ59" s="115">
        <f>IF((Modèle!AJ$14+Modèle!AJ$17+Modèle!AJ$50)&gt;AJ40,AJ40,(Modèle!AJ$14+Modèle!AJ$17+Modèle!AJ$50)-AJ40)</f>
        <v>10943.26338264837</v>
      </c>
      <c r="AK59" s="115">
        <f>IF((Modèle!AK$14+Modèle!AK$17+Modèle!AK$50)&gt;AK40,AK40,(Modèle!AK$14+Modèle!AK$17+Modèle!AK$50)-AK40)</f>
        <v>11162.128650301338</v>
      </c>
      <c r="AL59" s="115">
        <f>IF((Modèle!AL$14+Modèle!AL$17+Modèle!AL$50)&gt;AL40,AL40,(Modèle!AL$14+Modèle!AL$17+Modèle!AL$50)-AL40)</f>
        <v>11385.371223307366</v>
      </c>
      <c r="AM59" s="115">
        <f>IF((Modèle!AM$14+Modèle!AM$17+Modèle!AM$50)&gt;AM40,AM40,(Modèle!AM$14+Modèle!AM$17+Modèle!AM$50)-AM40)</f>
        <v>11613.078647773513</v>
      </c>
      <c r="AN59" s="115">
        <f>IF((Modèle!AN$14+Modèle!AN$17+Modèle!AN$50)&gt;AN40,AN40,(Modèle!AN$14+Modèle!AN$17+Modèle!AN$50)-AN40)</f>
        <v>11845.340220728984</v>
      </c>
      <c r="AO59" s="115">
        <f>IF((Modèle!AO$14+Modèle!AO$17+Modèle!AO$50)&gt;AO40,AO40,(Modèle!AO$14+Modèle!AO$17+Modèle!AO$50)-AO40)</f>
        <v>12082.247025143564</v>
      </c>
      <c r="AP59" s="115">
        <f>IF((Modèle!AP$14+Modèle!AP$17+Modèle!AP$50)&gt;AP40,AP40,(Modèle!AP$14+Modèle!AP$17+Modèle!AP$50)-AP40)</f>
        <v>12323.891965646435</v>
      </c>
      <c r="AQ59" s="115">
        <f>IF((Modèle!AQ$14+Modèle!AQ$17+Modèle!AQ$50)&gt;AQ40,AQ40,(Modèle!AQ$14+Modèle!AQ$17+Modèle!AQ$50)-AQ40)</f>
        <v>12570.369804959364</v>
      </c>
      <c r="AR59" s="115">
        <f>IF((Modèle!AR$14+Modèle!AR$17+Modèle!AR$50)&gt;AR40,AR40,(Modèle!AR$14+Modèle!AR$17+Modèle!AR$50)-AR40)</f>
        <v>12821.777201058552</v>
      </c>
      <c r="AS59" s="115">
        <f>IF((Modèle!AS$14+Modèle!AS$17+Modèle!AS$50)&gt;AS40,AS40,(Modèle!AS$14+Modèle!AS$17+Modèle!AS$50)-AS40)</f>
        <v>13078.212745079723</v>
      </c>
      <c r="AT59" s="115">
        <f>IF((Modèle!AT$14+Modèle!AT$17+Modèle!AT$50)&gt;AT40,AT40,(Modèle!AT$14+Modèle!AT$17+Modèle!AT$50)-AT40)</f>
        <v>13339.776999981317</v>
      </c>
      <c r="AU59" s="115">
        <f>IF((Modèle!AU$14+Modèle!AU$17+Modèle!AU$50)&gt;AU40,AU40,(Modèle!AU$14+Modèle!AU$17+Modèle!AU$50)-AU40)</f>
        <v>13606.572539980943</v>
      </c>
      <c r="AV59" s="115">
        <f>IF((Modèle!AV$14+Modèle!AV$17+Modèle!AV$50)&gt;AV40,AV40,(Modèle!AV$14+Modèle!AV$17+Modèle!AV$50)-AV40)</f>
        <v>13878.703990780563</v>
      </c>
      <c r="AW59" s="115">
        <f>IF((Modèle!AW$14+Modèle!AW$17+Modèle!AW$50)&gt;AW40,AW40,(Modèle!AW$14+Modèle!AW$17+Modèle!AW$50)-AW40)</f>
        <v>14156.278070596174</v>
      </c>
      <c r="AX59" s="115">
        <f>IF((Modèle!AX$14+Modèle!AX$17+Modèle!AX$50)&gt;AX40,AX40,(Modèle!AX$14+Modèle!AX$17+Modèle!AX$50)-AX40)</f>
        <v>14439.403632008098</v>
      </c>
      <c r="AY59" s="115">
        <f>IF((Modèle!AY$14+Modèle!AY$17+Modèle!AY$50)&gt;AY40,AY40,(Modèle!AY$14+Modèle!AY$17+Modèle!AY$50)-AY40)</f>
        <v>14728.19170464826</v>
      </c>
      <c r="AZ59" s="115">
        <f>IF((Modèle!AZ$14+Modèle!AZ$17+Modèle!AZ$50)&gt;AZ40,AZ40,(Modèle!AZ$14+Modèle!AZ$17+Modèle!AZ$50)-AZ40)</f>
        <v>15022.755538741225</v>
      </c>
      <c r="BA59" s="115">
        <f>IF((Modèle!BA$14+Modèle!BA$17+Modèle!BA$50)&gt;BA40,BA40,(Modèle!BA$14+Modèle!BA$17+Modèle!BA$50)-BA40)</f>
        <v>15323.21064951605</v>
      </c>
    </row>
    <row r="60" spans="2:53" ht="15">
      <c r="B60" s="172" t="s">
        <v>171</v>
      </c>
      <c r="C60" s="115">
        <f>IF((Modèle!C$14+Modèle!C$17+Modèle!C$50)&gt;C41,C41-C59,(Modèle!C$14+Modèle!C$17+Modèle!C$50)-C59)</f>
        <v>6203</v>
      </c>
      <c r="D60" s="115">
        <f>IF((Modèle!D$14+Modèle!D$17+Modèle!D$50)&gt;D41,D41-D59,(Modèle!D$14+Modèle!D$17+Modèle!D$50)-D59)</f>
        <v>6327.06</v>
      </c>
      <c r="E60" s="115">
        <f>IF((Modèle!E$14+Modèle!E$17+Modèle!E$50)&gt;E41,E41-E59,(Modèle!E$14+Modèle!E$17+Modèle!E$50)-E59)</f>
        <v>6453.601200000001</v>
      </c>
      <c r="F60" s="115">
        <f>IF((Modèle!F$14+Modèle!F$17+Modèle!F$50)&gt;F41,F41-F59,(Modèle!F$14+Modèle!F$17+Modèle!F$50)-F59)</f>
        <v>6582.673224000002</v>
      </c>
      <c r="G60" s="115">
        <f>IF((Modèle!G$14+Modèle!G$17+Modèle!G$50)&gt;G41,G41-G59,(Modèle!G$14+Modèle!G$17+Modèle!G$50)-G59)</f>
        <v>6714.326688480001</v>
      </c>
      <c r="H60" s="115">
        <f>IF((Modèle!H$14+Modèle!H$17+Modèle!H$50)&gt;H41,H41-H59,(Modèle!H$14+Modèle!H$17+Modèle!H$50)-H59)</f>
        <v>6848.613222249603</v>
      </c>
      <c r="I60" s="115">
        <f>IF((Modèle!I$14+Modèle!I$17+Modèle!I$50)&gt;I41,I41-I59,(Modèle!I$14+Modèle!I$17+Modèle!I$50)-I59)</f>
        <v>6985.585486694594</v>
      </c>
      <c r="J60" s="115">
        <f>IF((Modèle!J$14+Modèle!J$17+Modèle!J$50)&gt;J41,J41-J59,(Modèle!J$14+Modèle!J$17+Modèle!J$50)-J59)</f>
        <v>7125.297196428485</v>
      </c>
      <c r="K60" s="115">
        <f>IF((Modèle!K$14+Modèle!K$17+Modèle!K$50)&gt;K41,K41-K59,(Modèle!K$14+Modèle!K$17+Modèle!K$50)-K59)</f>
        <v>7267.803140357055</v>
      </c>
      <c r="L60" s="115">
        <f>IF((Modèle!L$14+Modèle!L$17+Modèle!L$50)&gt;L41,L41-L59,(Modèle!L$14+Modèle!L$17+Modèle!L$50)-L59)</f>
        <v>7413.159203164197</v>
      </c>
      <c r="M60" s="115">
        <f>IF((Modèle!M$14+Modèle!M$17+Modèle!M$50)&gt;M41,M41-M59,(Modèle!M$14+Modèle!M$17+Modèle!M$50)-M59)</f>
        <v>7561.4223872274815</v>
      </c>
      <c r="N60" s="115">
        <f>IF((Modèle!N$14+Modèle!N$17+Modèle!N$50)&gt;N41,N41-N59,(Modèle!N$14+Modèle!N$17+Modèle!N$50)-N59)</f>
        <v>7712.650834972031</v>
      </c>
      <c r="O60" s="115">
        <f>IF((Modèle!O$14+Modèle!O$17+Modèle!O$50)&gt;O41,O41-O59,(Modèle!O$14+Modèle!O$17+Modèle!O$50)-O59)</f>
        <v>7866.903851671471</v>
      </c>
      <c r="P60" s="115">
        <f>IF((Modèle!P$14+Modèle!P$17+Modèle!P$50)&gt;P41,P41-P59,(Modèle!P$14+Modèle!P$17+Modèle!P$50)-P59)</f>
        <v>8024.2419287049</v>
      </c>
      <c r="Q60" s="115">
        <f>IF((Modèle!Q$14+Modèle!Q$17+Modèle!Q$50)&gt;Q41,Q41-Q59,(Modèle!Q$14+Modèle!Q$17+Modèle!Q$50)-Q59)</f>
        <v>8184.7267672789985</v>
      </c>
      <c r="R60" s="115">
        <f>IF((Modèle!R$14+Modèle!R$17+Modèle!R$50)&gt;R41,R41-R59,(Modèle!R$14+Modèle!R$17+Modèle!R$50)-R59)</f>
        <v>8348.421302624578</v>
      </c>
      <c r="S60" s="115">
        <f>IF((Modèle!S$14+Modèle!S$17+Modèle!S$50)&gt;S41,S41-S59,(Modèle!S$14+Modèle!S$17+Modèle!S$50)-S59)</f>
        <v>8515.38972867707</v>
      </c>
      <c r="T60" s="115">
        <f>IF((Modèle!T$14+Modèle!T$17+Modèle!T$50)&gt;T41,T41-T59,(Modèle!T$14+Modèle!T$17+Modèle!T$50)-T59)</f>
        <v>8685.697523250614</v>
      </c>
      <c r="U60" s="115">
        <f>IF((Modèle!U$14+Modèle!U$17+Modèle!U$50)&gt;U41,U41-U59,(Modèle!U$14+Modèle!U$17+Modèle!U$50)-U59)</f>
        <v>8859.411473715627</v>
      </c>
      <c r="V60" s="115">
        <f>IF((Modèle!V$14+Modèle!V$17+Modèle!V$50)&gt;V41,V41-V59,(Modèle!V$14+Modèle!V$17+Modèle!V$50)-V59)</f>
        <v>9036.59970318994</v>
      </c>
      <c r="W60" s="115">
        <f>IF((Modèle!W$14+Modèle!W$17+Modèle!W$50)&gt;W41,W41-W59,(Modèle!W$14+Modèle!W$17+Modèle!W$50)-W59)</f>
        <v>9217.33169725374</v>
      </c>
      <c r="X60" s="115">
        <f>IF((Modèle!X$14+Modèle!X$17+Modèle!X$50)&gt;X41,X41-X59,(Modèle!X$14+Modèle!X$17+Modèle!X$50)-X59)</f>
        <v>9401.678331198817</v>
      </c>
      <c r="Y60" s="115">
        <f>IF((Modèle!Y$14+Modèle!Y$17+Modèle!Y$50)&gt;Y41,Y41-Y59,(Modèle!Y$14+Modèle!Y$17+Modèle!Y$50)-Y59)</f>
        <v>9589.711897822792</v>
      </c>
      <c r="Z60" s="115">
        <f>IF((Modèle!Z$14+Modèle!Z$17+Modèle!Z$50)&gt;Z41,Z41-Z59,(Modèle!Z$14+Modèle!Z$17+Modèle!Z$50)-Z59)</f>
        <v>9781.50613577925</v>
      </c>
      <c r="AA60" s="115">
        <f>IF((Modèle!AA$14+Modèle!AA$17+Modèle!AA$50)&gt;AA41,AA41-AA59,(Modèle!AA$14+Modèle!AA$17+Modèle!AA$50)-AA59)</f>
        <v>9977.136258494837</v>
      </c>
      <c r="AB60" s="115">
        <f>IF((Modèle!AB$14+Modèle!AB$17+Modèle!AB$50)&gt;AB41,AB41-AB59,(Modèle!AB$14+Modèle!AB$17+Modèle!AB$50)-AB59)</f>
        <v>10176.678983664735</v>
      </c>
      <c r="AC60" s="115">
        <f>IF((Modèle!AC$14+Modèle!AC$17+Modèle!AC$50)&gt;AC41,AC41-AC59,(Modèle!AC$14+Modèle!AC$17+Modèle!AC$50)-AC59)</f>
        <v>10380.21256333803</v>
      </c>
      <c r="AD60" s="115">
        <f>IF((Modèle!AD$14+Modèle!AD$17+Modèle!AD$50)&gt;AD41,AD41-AD59,(Modèle!AD$14+Modèle!AD$17+Modèle!AD$50)-AD59)</f>
        <v>10587.816814604792</v>
      </c>
      <c r="AE60" s="115">
        <f>IF((Modèle!AE$14+Modèle!AE$17+Modèle!AE$50)&gt;AE41,AE41-AE59,(Modèle!AE$14+Modèle!AE$17+Modèle!AE$50)-AE59)</f>
        <v>10799.573150896887</v>
      </c>
      <c r="AF60" s="115">
        <f>IF((Modèle!AF$14+Modèle!AF$17+Modèle!AF$50)&gt;AF41,AF41-AF59,(Modèle!AF$14+Modèle!AF$17+Modèle!AF$50)-AF59)</f>
        <v>11015.564613914827</v>
      </c>
      <c r="AG60" s="115">
        <f>IF((Modèle!AG$14+Modèle!AG$17+Modèle!AG$50)&gt;AG41,AG41-AG59,(Modèle!AG$14+Modèle!AG$17+Modèle!AG$50)-AG59)</f>
        <v>11235.875906193123</v>
      </c>
      <c r="AH60" s="115">
        <f>IF((Modèle!AH$14+Modèle!AH$17+Modèle!AH$50)&gt;AH41,AH41-AH59,(Modèle!AH$14+Modèle!AH$17+Modèle!AH$50)-AH59)</f>
        <v>11460.593424316985</v>
      </c>
      <c r="AI60" s="115">
        <f>IF((Modèle!AI$14+Modèle!AI$17+Modèle!AI$50)&gt;AI41,AI41-AI59,(Modèle!AI$14+Modèle!AI$17+Modèle!AI$50)-AI59)</f>
        <v>11689.805292803323</v>
      </c>
      <c r="AJ60" s="115">
        <f>IF((Modèle!AJ$14+Modèle!AJ$17+Modèle!AJ$50)&gt;AJ41,AJ41-AJ59,(Modèle!AJ$14+Modèle!AJ$17+Modèle!AJ$50)-AJ59)</f>
        <v>11923.601398659392</v>
      </c>
      <c r="AK60" s="115">
        <f>IF((Modèle!AK$14+Modèle!AK$17+Modèle!AK$50)&gt;AK41,AK41-AK59,(Modèle!AK$14+Modèle!AK$17+Modèle!AK$50)-AK59)</f>
        <v>12162.07342663258</v>
      </c>
      <c r="AL60" s="115">
        <f>IF((Modèle!AL$14+Modèle!AL$17+Modèle!AL$50)&gt;AL41,AL41-AL59,(Modèle!AL$14+Modèle!AL$17+Modèle!AL$50)-AL59)</f>
        <v>12405.314895165231</v>
      </c>
      <c r="AM60" s="115">
        <f>IF((Modèle!AM$14+Modèle!AM$17+Modèle!AM$50)&gt;AM41,AM41-AM59,(Modèle!AM$14+Modèle!AM$17+Modèle!AM$50)-AM59)</f>
        <v>12653.421193068538</v>
      </c>
      <c r="AN60" s="115">
        <f>IF((Modèle!AN$14+Modèle!AN$17+Modèle!AN$50)&gt;AN41,AN41-AN59,(Modèle!AN$14+Modèle!AN$17+Modèle!AN$50)-AN59)</f>
        <v>12906.48961692991</v>
      </c>
      <c r="AO60" s="115">
        <f>IF((Modèle!AO$14+Modèle!AO$17+Modèle!AO$50)&gt;AO41,AO41-AO59,(Modèle!AO$14+Modèle!AO$17+Modèle!AO$50)-AO59)</f>
        <v>13164.61940926851</v>
      </c>
      <c r="AP60" s="115">
        <f>IF((Modèle!AP$14+Modèle!AP$17+Modèle!AP$50)&gt;AP41,AP41-AP59,(Modèle!AP$14+Modèle!AP$17+Modèle!AP$50)-AP59)</f>
        <v>13427.911797453882</v>
      </c>
      <c r="AQ60" s="115">
        <f>IF((Modèle!AQ$14+Modèle!AQ$17+Modèle!AQ$50)&gt;AQ41,AQ41-AQ59,(Modèle!AQ$14+Modèle!AQ$17+Modèle!AQ$50)-AQ59)</f>
        <v>13696.47003340296</v>
      </c>
      <c r="AR60" s="115">
        <f>IF((Modèle!AR$14+Modèle!AR$17+Modèle!AR$50)&gt;AR41,AR41-AR59,(Modèle!AR$14+Modèle!AR$17+Modèle!AR$50)-AR59)</f>
        <v>13970.399434071018</v>
      </c>
      <c r="AS60" s="115">
        <f>IF((Modèle!AS$14+Modèle!AS$17+Modèle!AS$50)&gt;AS41,AS41-AS59,(Modèle!AS$14+Modèle!AS$17+Modèle!AS$50)-AS59)</f>
        <v>5152.593101806644</v>
      </c>
      <c r="AT60" s="115">
        <f>IF((Modèle!AT$14+Modèle!AT$17+Modèle!AT$50)&gt;AT41,AT41-AT59,(Modèle!AT$14+Modèle!AT$17+Modèle!AT$50)-AT59)</f>
        <v>5255.644963842777</v>
      </c>
      <c r="AU60" s="115">
        <f>IF((Modèle!AU$14+Modèle!AU$17+Modèle!AU$50)&gt;AU41,AU41-AU59,(Modèle!AU$14+Modèle!AU$17+Modèle!AU$50)-AU59)</f>
        <v>5360.757863119632</v>
      </c>
      <c r="AV60" s="115">
        <f>IF((Modèle!AV$14+Modèle!AV$17+Modèle!AV$50)&gt;AV41,AV41-AV59,(Modèle!AV$14+Modèle!AV$17+Modèle!AV$50)-AV59)</f>
        <v>5467.973020382025</v>
      </c>
      <c r="AW60" s="115">
        <f>IF((Modèle!AW$14+Modèle!AW$17+Modèle!AW$50)&gt;AW41,AW41-AW59,(Modèle!AW$14+Modèle!AW$17+Modèle!AW$50)-AW59)</f>
        <v>5577.332480789668</v>
      </c>
      <c r="AX60" s="115">
        <f>IF((Modèle!AX$14+Modèle!AX$17+Modèle!AX$50)&gt;AX41,AX41-AX59,(Modèle!AX$14+Modèle!AX$17+Modèle!AX$50)-AX59)</f>
        <v>5688.879130405463</v>
      </c>
      <c r="AY60" s="115">
        <f>IF((Modèle!AY$14+Modèle!AY$17+Modèle!AY$50)&gt;AY41,AY41-AY59,(Modèle!AY$14+Modèle!AY$17+Modèle!AY$50)-AY59)</f>
        <v>5802.65671301357</v>
      </c>
      <c r="AZ60" s="115">
        <f>IF((Modèle!AZ$14+Modèle!AZ$17+Modèle!AZ$50)&gt;AZ41,AZ41-AZ59,(Modèle!AZ$14+Modèle!AZ$17+Modèle!AZ$50)-AZ59)</f>
        <v>5918.70984727384</v>
      </c>
      <c r="BA60" s="115">
        <f>IF((Modèle!BA$14+Modèle!BA$17+Modèle!BA$50)&gt;BA41,BA41-BA59,(Modèle!BA$14+Modèle!BA$17+Modèle!BA$50)-BA59)</f>
        <v>6037.08404421932</v>
      </c>
    </row>
    <row r="61" spans="2:53" ht="15">
      <c r="B61" s="172" t="s">
        <v>172</v>
      </c>
      <c r="C61" s="115">
        <f>IF((Modèle!C$14+Modèle!C$17+Modèle!C$50)&gt;C42,C42-SUM(C$59:C60),(Modèle!C$14+Modèle!C$17+Modèle!C$50)-SUM(C$59:C60))</f>
        <v>4232</v>
      </c>
      <c r="D61" s="115">
        <f>IF((Modèle!D$14+Modèle!D$17+Modèle!D$50)&gt;D42,D42-SUM(D$59:D60),(Modèle!D$14+Modèle!D$17+Modèle!D$50)-SUM(D$59:D60))</f>
        <v>4316.640000000001</v>
      </c>
      <c r="E61" s="115">
        <f>IF((Modèle!E$14+Modèle!E$17+Modèle!E$50)&gt;E42,E42-SUM(E$59:E60),(Modèle!E$14+Modèle!E$17+Modèle!E$50)-SUM(E$59:E60))</f>
        <v>4402.972800000001</v>
      </c>
      <c r="F61" s="115">
        <f>IF((Modèle!F$14+Modèle!F$17+Modèle!F$50)&gt;F42,F42-SUM(F$59:F60),(Modèle!F$14+Modèle!F$17+Modèle!F$50)-SUM(F$59:F60))</f>
        <v>4491.032255999999</v>
      </c>
      <c r="G61" s="115">
        <f>IF((Modèle!G$14+Modèle!G$17+Modèle!G$50)&gt;G42,G42-SUM(G$59:G60),(Modèle!G$14+Modèle!G$17+Modèle!G$50)-SUM(G$59:G60))</f>
        <v>4580.852901120003</v>
      </c>
      <c r="H61" s="115">
        <f>IF((Modèle!H$14+Modèle!H$17+Modèle!H$50)&gt;H42,H42-SUM(H$59:H60),(Modèle!H$14+Modèle!H$17+Modèle!H$50)-SUM(H$59:H60))</f>
        <v>4672.4699591424</v>
      </c>
      <c r="I61" s="115">
        <f>IF((Modèle!I$14+Modèle!I$17+Modèle!I$50)&gt;I42,I42-SUM(I$59:I60),(Modèle!I$14+Modèle!I$17+Modèle!I$50)-SUM(I$59:I60))</f>
        <v>4765.919358325249</v>
      </c>
      <c r="J61" s="115">
        <f>IF((Modèle!J$14+Modèle!J$17+Modèle!J$50)&gt;J42,J42-SUM(J$59:J60),(Modèle!J$14+Modèle!J$17+Modèle!J$50)-SUM(J$59:J60))</f>
        <v>4861.237745491757</v>
      </c>
      <c r="K61" s="115">
        <f>IF((Modèle!K$14+Modèle!K$17+Modèle!K$50)&gt;K42,K42-SUM(K$59:K60),(Modèle!K$14+Modèle!K$17+Modèle!K$50)-SUM(K$59:K60))</f>
        <v>4958.462500401591</v>
      </c>
      <c r="L61" s="115">
        <f>IF((Modèle!L$14+Modèle!L$17+Modèle!L$50)&gt;L42,L42-SUM(L$59:L60),(Modèle!L$14+Modèle!L$17+Modèle!L$50)-SUM(L$59:L60))</f>
        <v>5057.631750409622</v>
      </c>
      <c r="M61" s="115">
        <f>IF((Modèle!M$14+Modèle!M$17+Modèle!M$50)&gt;M42,M42-SUM(M$59:M60),(Modèle!M$14+Modèle!M$17+Modèle!M$50)-SUM(M$59:M60))</f>
        <v>7086.229680091876</v>
      </c>
      <c r="N61" s="115">
        <f>IF((Modèle!N$14+Modèle!N$17+Modèle!N$50)&gt;N42,N42-SUM(N$59:N60),(Modèle!N$14+Modèle!N$17+Modèle!N$50)-SUM(N$59:N60))</f>
        <v>7227.9542736937165</v>
      </c>
      <c r="O61" s="115">
        <f>IF((Modèle!O$14+Modèle!O$17+Modèle!O$50)&gt;O42,O42-SUM(O$59:O60),(Modèle!O$14+Modèle!O$17+Modèle!O$50)-SUM(O$59:O60))</f>
        <v>7372.513359167591</v>
      </c>
      <c r="P61" s="115">
        <f>IF((Modèle!P$14+Modèle!P$17+Modèle!P$50)&gt;P42,P42-SUM(P$59:P60),(Modèle!P$14+Modèle!P$17+Modèle!P$50)-SUM(P$59:P60))</f>
        <v>7519.963626350944</v>
      </c>
      <c r="Q61" s="115">
        <f>IF((Modèle!Q$14+Modèle!Q$17+Modèle!Q$50)&gt;Q42,Q42-SUM(Q$59:Q60),(Modèle!Q$14+Modèle!Q$17+Modèle!Q$50)-SUM(Q$59:Q60))</f>
        <v>7670.362898877962</v>
      </c>
      <c r="R61" s="115">
        <f>IF((Modèle!R$14+Modèle!R$17+Modèle!R$50)&gt;R42,R42-SUM(R$59:R60),(Modèle!R$14+Modèle!R$17+Modèle!R$50)-SUM(R$59:R60))</f>
        <v>7823.77015685552</v>
      </c>
      <c r="S61" s="115">
        <f>IF((Modèle!S$14+Modèle!S$17+Modèle!S$50)&gt;S42,S42-SUM(S$59:S60),(Modèle!S$14+Modèle!S$17+Modèle!S$50)-SUM(S$59:S60))</f>
        <v>7980.245559992629</v>
      </c>
      <c r="T61" s="115">
        <f>IF((Modèle!T$14+Modèle!T$17+Modèle!T$50)&gt;T42,T42-SUM(T$59:T60),(Modèle!T$14+Modèle!T$17+Modèle!T$50)-SUM(T$59:T60))</f>
        <v>8139.85047119248</v>
      </c>
      <c r="U61" s="115">
        <f>IF((Modèle!U$14+Modèle!U$17+Modèle!U$50)&gt;U42,U42-SUM(U$59:U60),(Modèle!U$14+Modèle!U$17+Modèle!U$50)-SUM(U$59:U60))</f>
        <v>8302.647480616328</v>
      </c>
      <c r="V61" s="115">
        <f>IF((Modèle!V$14+Modèle!V$17+Modèle!V$50)&gt;V42,V42-SUM(V$59:V60),(Modèle!V$14+Modèle!V$17+Modèle!V$50)-SUM(V$59:V60))</f>
        <v>8468.700430228655</v>
      </c>
      <c r="W61" s="115">
        <f>IF((Modèle!W$14+Modèle!W$17+Modèle!W$50)&gt;W42,W42-SUM(W$59:W60),(Modèle!W$14+Modèle!W$17+Modèle!W$50)-SUM(W$59:W60))</f>
        <v>8638.074438833228</v>
      </c>
      <c r="X61" s="115">
        <f>IF((Modèle!X$14+Modèle!X$17+Modèle!X$50)&gt;X42,X42-SUM(X$59:X60),(Modèle!X$14+Modèle!X$17+Modèle!X$50)-SUM(X$59:X60))</f>
        <v>8810.835927609889</v>
      </c>
      <c r="Y61" s="115">
        <f>IF((Modèle!Y$14+Modèle!Y$17+Modèle!Y$50)&gt;Y42,Y42-SUM(Y$59:Y60),(Modèle!Y$14+Modèle!Y$17+Modèle!Y$50)-SUM(Y$59:Y60))</f>
        <v>8987.052646162087</v>
      </c>
      <c r="Z61" s="115">
        <f>IF((Modèle!Z$14+Modèle!Z$17+Modèle!Z$50)&gt;Z42,Z42-SUM(Z$59:Z60),(Modèle!Z$14+Modèle!Z$17+Modèle!Z$50)-SUM(Z$59:Z60))</f>
        <v>9166.793699085323</v>
      </c>
      <c r="AA61" s="115">
        <f>IF((Modèle!AA$14+Modèle!AA$17+Modèle!AA$50)&gt;AA42,AA42-SUM(AA$59:AA60),(Modèle!AA$14+Modèle!AA$17+Modèle!AA$50)-SUM(AA$59:AA60))</f>
        <v>9350.129573067028</v>
      </c>
      <c r="AB61" s="115">
        <f>IF((Modèle!AB$14+Modèle!AB$17+Modèle!AB$50)&gt;AB42,AB42-SUM(AB$59:AB60),(Modèle!AB$14+Modèle!AB$17+Modèle!AB$50)-SUM(AB$59:AB60))</f>
        <v>9537.132164528368</v>
      </c>
      <c r="AC61" s="115">
        <f>IF((Modèle!AC$14+Modèle!AC$17+Modèle!AC$50)&gt;AC42,AC42-SUM(AC$59:AC60),(Modèle!AC$14+Modèle!AC$17+Modèle!AC$50)-SUM(AC$59:AC60))</f>
        <v>9727.874807818935</v>
      </c>
      <c r="AD61" s="115">
        <f>IF((Modèle!AD$14+Modèle!AD$17+Modèle!AD$50)&gt;AD42,AD42-SUM(AD$59:AD60),(Modèle!AD$14+Modèle!AD$17+Modèle!AD$50)-SUM(AD$59:AD60))</f>
        <v>9922.432303975314</v>
      </c>
      <c r="AE61" s="115">
        <f>IF((Modèle!AE$14+Modèle!AE$17+Modèle!AE$50)&gt;AE42,AE42-SUM(AE$59:AE60),(Modèle!AE$14+Modèle!AE$17+Modèle!AE$50)-SUM(AE$59:AE60))</f>
        <v>10120.88095005482</v>
      </c>
      <c r="AF61" s="115">
        <f>IF((Modèle!AF$14+Modèle!AF$17+Modèle!AF$50)&gt;AF42,AF42-SUM(AF$59:AF60),(Modèle!AF$14+Modèle!AF$17+Modèle!AF$50)-SUM(AF$59:AF60))</f>
        <v>10323.298569055914</v>
      </c>
      <c r="AG61" s="115">
        <f>IF((Modèle!AG$14+Modèle!AG$17+Modèle!AG$50)&gt;AG42,AG42-SUM(AG$59:AG60),(Modèle!AG$14+Modèle!AG$17+Modèle!AG$50)-SUM(AG$59:AG60))</f>
        <v>13674.639240920427</v>
      </c>
      <c r="AH61" s="115">
        <f>IF((Modèle!AH$14+Modèle!AH$17+Modèle!AH$50)&gt;AH42,AH42-SUM(AH$59:AH60),(Modèle!AH$14+Modèle!AH$17+Modèle!AH$50)-SUM(AH$59:AH60))</f>
        <v>13948.132025738832</v>
      </c>
      <c r="AI61" s="115">
        <f>IF((Modèle!AI$14+Modèle!AI$17+Modèle!AI$50)&gt;AI42,AI42-SUM(AI$59:AI60),(Modèle!AI$14+Modèle!AI$17+Modèle!AI$50)-SUM(AI$59:AI60))</f>
        <v>14227.094666253615</v>
      </c>
      <c r="AJ61" s="115">
        <f>IF((Modèle!AJ$14+Modèle!AJ$17+Modèle!AJ$50)&gt;AJ42,AJ42-SUM(AJ$59:AJ60),(Modèle!AJ$14+Modèle!AJ$17+Modèle!AJ$50)-SUM(AJ$59:AJ60))</f>
        <v>14511.636559578685</v>
      </c>
      <c r="AK61" s="115">
        <f>IF((Modèle!AK$14+Modèle!AK$17+Modèle!AK$50)&gt;AK42,AK42-SUM(AK$59:AK60),(Modèle!AK$14+Modèle!AK$17+Modèle!AK$50)-SUM(AK$59:AK60))</f>
        <v>14801.86929077026</v>
      </c>
      <c r="AL61" s="115">
        <f>IF((Modèle!AL$14+Modèle!AL$17+Modèle!AL$50)&gt;AL42,AL42-SUM(AL$59:AL60),(Modèle!AL$14+Modèle!AL$17+Modèle!AL$50)-SUM(AL$59:AL60))</f>
        <v>15097.906676585666</v>
      </c>
      <c r="AM61" s="115">
        <f>IF((Modèle!AM$14+Modèle!AM$17+Modèle!AM$50)&gt;AM42,AM42-SUM(AM$59:AM60),(Modèle!AM$14+Modèle!AM$17+Modèle!AM$50)-SUM(AM$59:AM60))</f>
        <v>15399.864810117375</v>
      </c>
      <c r="AN61" s="115">
        <f>IF((Modèle!AN$14+Modèle!AN$17+Modèle!AN$50)&gt;AN42,AN42-SUM(AN$59:AN60),(Modèle!AN$14+Modèle!AN$17+Modèle!AN$50)-SUM(AN$59:AN60))</f>
        <v>15707.86210631972</v>
      </c>
      <c r="AO61" s="115">
        <f>IF((Modèle!AO$14+Modèle!AO$17+Modèle!AO$50)&gt;AO42,AO42-SUM(AO$59:AO60),(Modèle!AO$14+Modèle!AO$17+Modèle!AO$50)-SUM(AO$59:AO60))</f>
        <v>16022.019348446109</v>
      </c>
      <c r="AP61" s="115">
        <f>IF((Modèle!AP$14+Modèle!AP$17+Modèle!AP$50)&gt;AP42,AP42-SUM(AP$59:AP60),(Modèle!AP$14+Modèle!AP$17+Modèle!AP$50)-SUM(AP$59:AP60))</f>
        <v>16342.459735415032</v>
      </c>
      <c r="AQ61" s="115">
        <f>IF((Modèle!AQ$14+Modèle!AQ$17+Modèle!AQ$50)&gt;AQ42,AQ42-SUM(AQ$59:AQ60),(Modèle!AQ$14+Modèle!AQ$17+Modèle!AQ$50)-SUM(AQ$59:AQ60))</f>
        <v>16669.30893012333</v>
      </c>
      <c r="AR61" s="115">
        <f>IF((Modèle!AR$14+Modèle!AR$17+Modèle!AR$50)&gt;AR42,AR42-SUM(AR$59:AR60),(Modèle!AR$14+Modèle!AR$17+Modèle!AR$50)-SUM(AR$59:AR60))</f>
        <v>17002.695108725795</v>
      </c>
      <c r="AS61" s="115">
        <f>IF((Modèle!AS$14+Modèle!AS$17+Modèle!AS$50)&gt;AS42,AS42-SUM(AS$59:AS60),(Modèle!AS$14+Modèle!AS$17+Modèle!AS$50)-SUM(AS$59:AS60))</f>
        <v>0</v>
      </c>
      <c r="AT61" s="115">
        <f>IF((Modèle!AT$14+Modèle!AT$17+Modèle!AT$50)&gt;AT42,AT42-SUM(AT$59:AT60),(Modèle!AT$14+Modèle!AT$17+Modèle!AT$50)-SUM(AT$59:AT60))</f>
        <v>0</v>
      </c>
      <c r="AU61" s="115">
        <f>IF((Modèle!AU$14+Modèle!AU$17+Modèle!AU$50)&gt;AU42,AU42-SUM(AU$59:AU60),(Modèle!AU$14+Modèle!AU$17+Modèle!AU$50)-SUM(AU$59:AU60))</f>
        <v>0</v>
      </c>
      <c r="AV61" s="115">
        <f>IF((Modèle!AV$14+Modèle!AV$17+Modèle!AV$50)&gt;AV42,AV42-SUM(AV$59:AV60),(Modèle!AV$14+Modèle!AV$17+Modèle!AV$50)-SUM(AV$59:AV60))</f>
        <v>0</v>
      </c>
      <c r="AW61" s="115">
        <f>IF((Modèle!AW$14+Modèle!AW$17+Modèle!AW$50)&gt;AW42,AW42-SUM(AW$59:AW60),(Modèle!AW$14+Modèle!AW$17+Modèle!AW$50)-SUM(AW$59:AW60))</f>
        <v>0</v>
      </c>
      <c r="AX61" s="115">
        <f>IF((Modèle!AX$14+Modèle!AX$17+Modèle!AX$50)&gt;AX42,AX42-SUM(AX$59:AX60),(Modèle!AX$14+Modèle!AX$17+Modèle!AX$50)-SUM(AX$59:AX60))</f>
        <v>0</v>
      </c>
      <c r="AY61" s="115">
        <f>IF((Modèle!AY$14+Modèle!AY$17+Modèle!AY$50)&gt;AY42,AY42-SUM(AY$59:AY60),(Modèle!AY$14+Modèle!AY$17+Modèle!AY$50)-SUM(AY$59:AY60))</f>
        <v>0</v>
      </c>
      <c r="AZ61" s="115">
        <f>IF((Modèle!AZ$14+Modèle!AZ$17+Modèle!AZ$50)&gt;AZ42,AZ42-SUM(AZ$59:AZ60),(Modèle!AZ$14+Modèle!AZ$17+Modèle!AZ$50)-SUM(AZ$59:AZ60))</f>
        <v>0</v>
      </c>
      <c r="BA61" s="115">
        <f>IF((Modèle!BA$14+Modèle!BA$17+Modèle!BA$50)&gt;BA42,BA42-SUM(BA$59:BA60),(Modèle!BA$14+Modèle!BA$17+Modèle!BA$50)-SUM(BA$59:BA60))</f>
        <v>0</v>
      </c>
    </row>
    <row r="62" spans="2:53" ht="15">
      <c r="B62" s="172" t="s">
        <v>173</v>
      </c>
      <c r="C62" s="115">
        <f>IF((Modèle!C$14+Modèle!C$17+Modèle!C$50)&gt;C43,C43-SUM(C$59:C61),(Modèle!C$14+Modèle!C$17+Modèle!C$50)-SUM(C$59:C61))</f>
        <v>0</v>
      </c>
      <c r="D62" s="115">
        <f>IF((Modèle!D$14+Modèle!D$17+Modèle!D$50)&gt;D43,D43-SUM(D$59:D61),(Modèle!D$14+Modèle!D$17+Modèle!D$50)-SUM(D$59:D61))</f>
        <v>0</v>
      </c>
      <c r="E62" s="115">
        <f>IF((Modèle!E$14+Modèle!E$17+Modèle!E$50)&gt;E43,E43-SUM(E$59:E61),(Modèle!E$14+Modèle!E$17+Modèle!E$50)-SUM(E$59:E61))</f>
        <v>0</v>
      </c>
      <c r="F62" s="115">
        <f>IF((Modèle!F$14+Modèle!F$17+Modèle!F$50)&gt;F43,F43-SUM(F$59:F61),(Modèle!F$14+Modèle!F$17+Modèle!F$50)-SUM(F$59:F61))</f>
        <v>0</v>
      </c>
      <c r="G62" s="115">
        <f>IF((Modèle!G$14+Modèle!G$17+Modèle!G$50)&gt;G43,G43-SUM(G$59:G61),(Modèle!G$14+Modèle!G$17+Modèle!G$50)-SUM(G$59:G61))</f>
        <v>0</v>
      </c>
      <c r="H62" s="115">
        <f>IF((Modèle!H$14+Modèle!H$17+Modèle!H$50)&gt;H43,H43-SUM(H$59:H61),(Modèle!H$14+Modèle!H$17+Modèle!H$50)-SUM(H$59:H61))</f>
        <v>0</v>
      </c>
      <c r="I62" s="115">
        <f>IF((Modèle!I$14+Modèle!I$17+Modèle!I$50)&gt;I43,I43-SUM(I$59:I61),(Modèle!I$14+Modèle!I$17+Modèle!I$50)-SUM(I$59:I61))</f>
        <v>0</v>
      </c>
      <c r="J62" s="115">
        <f>IF((Modèle!J$14+Modèle!J$17+Modèle!J$50)&gt;J43,J43-SUM(J$59:J61),(Modèle!J$14+Modèle!J$17+Modèle!J$50)-SUM(J$59:J61))</f>
        <v>0</v>
      </c>
      <c r="K62" s="115">
        <f>IF((Modèle!K$14+Modèle!K$17+Modèle!K$50)&gt;K43,K43-SUM(K$59:K61),(Modèle!K$14+Modèle!K$17+Modèle!K$50)-SUM(K$59:K61))</f>
        <v>0</v>
      </c>
      <c r="L62" s="115">
        <f>IF((Modèle!L$14+Modèle!L$17+Modèle!L$50)&gt;L43,L43-SUM(L$59:L61),(Modèle!L$14+Modèle!L$17+Modèle!L$50)-SUM(L$59:L61))</f>
        <v>0</v>
      </c>
      <c r="M62" s="115">
        <f>IF((Modèle!M$14+Modèle!M$17+Modèle!M$50)&gt;M43,M43-SUM(M$59:M61),(Modèle!M$14+Modèle!M$17+Modèle!M$50)-SUM(M$59:M61))</f>
        <v>0</v>
      </c>
      <c r="N62" s="115">
        <f>IF((Modèle!N$14+Modèle!N$17+Modèle!N$50)&gt;N43,N43-SUM(N$59:N61),(Modèle!N$14+Modèle!N$17+Modèle!N$50)-SUM(N$59:N61))</f>
        <v>0</v>
      </c>
      <c r="O62" s="115">
        <f>IF((Modèle!O$14+Modèle!O$17+Modèle!O$50)&gt;O43,O43-SUM(O$59:O61),(Modèle!O$14+Modèle!O$17+Modèle!O$50)-SUM(O$59:O61))</f>
        <v>0</v>
      </c>
      <c r="P62" s="115">
        <f>IF((Modèle!P$14+Modèle!P$17+Modèle!P$50)&gt;P43,P43-SUM(P$59:P61),(Modèle!P$14+Modèle!P$17+Modèle!P$50)-SUM(P$59:P61))</f>
        <v>0</v>
      </c>
      <c r="Q62" s="115">
        <f>IF((Modèle!Q$14+Modèle!Q$17+Modèle!Q$50)&gt;Q43,Q43-SUM(Q$59:Q61),(Modèle!Q$14+Modèle!Q$17+Modèle!Q$50)-SUM(Q$59:Q61))</f>
        <v>0</v>
      </c>
      <c r="R62" s="115">
        <f>IF((Modèle!R$14+Modèle!R$17+Modèle!R$50)&gt;R43,R43-SUM(R$59:R61),(Modèle!R$14+Modèle!R$17+Modèle!R$50)-SUM(R$59:R61))</f>
        <v>0</v>
      </c>
      <c r="S62" s="115">
        <f>IF((Modèle!S$14+Modèle!S$17+Modèle!S$50)&gt;S43,S43-SUM(S$59:S61),(Modèle!S$14+Modèle!S$17+Modèle!S$50)-SUM(S$59:S61))</f>
        <v>0</v>
      </c>
      <c r="T62" s="115">
        <f>IF((Modèle!T$14+Modèle!T$17+Modèle!T$50)&gt;T43,T43-SUM(T$59:T61),(Modèle!T$14+Modèle!T$17+Modèle!T$50)-SUM(T$59:T61))</f>
        <v>0</v>
      </c>
      <c r="U62" s="115">
        <f>IF((Modèle!U$14+Modèle!U$17+Modèle!U$50)&gt;U43,U43-SUM(U$59:U61),(Modèle!U$14+Modèle!U$17+Modèle!U$50)-SUM(U$59:U61))</f>
        <v>0</v>
      </c>
      <c r="V62" s="115">
        <f>IF((Modèle!V$14+Modèle!V$17+Modèle!V$50)&gt;V43,V43-SUM(V$59:V61),(Modèle!V$14+Modèle!V$17+Modèle!V$50)-SUM(V$59:V61))</f>
        <v>0</v>
      </c>
      <c r="W62" s="115">
        <f>IF((Modèle!W$14+Modèle!W$17+Modèle!W$50)&gt;W43,W43-SUM(W$59:W61),(Modèle!W$14+Modèle!W$17+Modèle!W$50)-SUM(W$59:W61))</f>
        <v>0</v>
      </c>
      <c r="X62" s="115">
        <f>IF((Modèle!X$14+Modèle!X$17+Modèle!X$50)&gt;X43,X43-SUM(X$59:X61),(Modèle!X$14+Modèle!X$17+Modèle!X$50)-SUM(X$59:X61))</f>
        <v>0</v>
      </c>
      <c r="Y62" s="115">
        <f>IF((Modèle!Y$14+Modèle!Y$17+Modèle!Y$50)&gt;Y43,Y43-SUM(Y$59:Y61),(Modèle!Y$14+Modèle!Y$17+Modèle!Y$50)-SUM(Y$59:Y61))</f>
        <v>0</v>
      </c>
      <c r="Z62" s="115">
        <f>IF((Modèle!Z$14+Modèle!Z$17+Modèle!Z$50)&gt;Z43,Z43-SUM(Z$59:Z61),(Modèle!Z$14+Modèle!Z$17+Modèle!Z$50)-SUM(Z$59:Z61))</f>
        <v>0</v>
      </c>
      <c r="AA62" s="115">
        <f>IF((Modèle!AA$14+Modèle!AA$17+Modèle!AA$50)&gt;AA43,AA43-SUM(AA$59:AA61),(Modèle!AA$14+Modèle!AA$17+Modèle!AA$50)-SUM(AA$59:AA61))</f>
        <v>0</v>
      </c>
      <c r="AB62" s="115">
        <f>IF((Modèle!AB$14+Modèle!AB$17+Modèle!AB$50)&gt;AB43,AB43-SUM(AB$59:AB61),(Modèle!AB$14+Modèle!AB$17+Modèle!AB$50)-SUM(AB$59:AB61))</f>
        <v>0</v>
      </c>
      <c r="AC62" s="115">
        <f>IF((Modèle!AC$14+Modèle!AC$17+Modèle!AC$50)&gt;AC43,AC43-SUM(AC$59:AC61),(Modèle!AC$14+Modèle!AC$17+Modèle!AC$50)-SUM(AC$59:AC61))</f>
        <v>0</v>
      </c>
      <c r="AD62" s="115">
        <f>IF((Modèle!AD$14+Modèle!AD$17+Modèle!AD$50)&gt;AD43,AD43-SUM(AD$59:AD61),(Modèle!AD$14+Modèle!AD$17+Modèle!AD$50)-SUM(AD$59:AD61))</f>
        <v>0</v>
      </c>
      <c r="AE62" s="115">
        <f>IF((Modèle!AE$14+Modèle!AE$17+Modèle!AE$50)&gt;AE43,AE43-SUM(AE$59:AE61),(Modèle!AE$14+Modèle!AE$17+Modèle!AE$50)-SUM(AE$59:AE61))</f>
        <v>0</v>
      </c>
      <c r="AF62" s="115">
        <f>IF((Modèle!AF$14+Modèle!AF$17+Modèle!AF$50)&gt;AF43,AF43-SUM(AF$59:AF61),(Modèle!AF$14+Modèle!AF$17+Modèle!AF$50)-SUM(AF$59:AF61))</f>
        <v>0</v>
      </c>
      <c r="AG62" s="115">
        <f>IF((Modèle!AG$14+Modèle!AG$17+Modèle!AG$50)&gt;AG43,AG43-SUM(AG$59:AG61),(Modèle!AG$14+Modèle!AG$17+Modèle!AG$50)-SUM(AG$59:AG61))</f>
        <v>0</v>
      </c>
      <c r="AH62" s="115">
        <f>IF((Modèle!AH$14+Modèle!AH$17+Modèle!AH$50)&gt;AH43,AH43-SUM(AH$59:AH61),(Modèle!AH$14+Modèle!AH$17+Modèle!AH$50)-SUM(AH$59:AH61))</f>
        <v>0</v>
      </c>
      <c r="AI62" s="115">
        <f>IF((Modèle!AI$14+Modèle!AI$17+Modèle!AI$50)&gt;AI43,AI43-SUM(AI$59:AI61),(Modèle!AI$14+Modèle!AI$17+Modèle!AI$50)-SUM(AI$59:AI61))</f>
        <v>0</v>
      </c>
      <c r="AJ62" s="115">
        <f>IF((Modèle!AJ$14+Modèle!AJ$17+Modèle!AJ$50)&gt;AJ43,AJ43-SUM(AJ$59:AJ61),(Modèle!AJ$14+Modèle!AJ$17+Modèle!AJ$50)-SUM(AJ$59:AJ61))</f>
        <v>0</v>
      </c>
      <c r="AK62" s="115">
        <f>IF((Modèle!AK$14+Modèle!AK$17+Modèle!AK$50)&gt;AK43,AK43-SUM(AK$59:AK61),(Modèle!AK$14+Modèle!AK$17+Modèle!AK$50)-SUM(AK$59:AK61))</f>
        <v>0</v>
      </c>
      <c r="AL62" s="115">
        <f>IF((Modèle!AL$14+Modèle!AL$17+Modèle!AL$50)&gt;AL43,AL43-SUM(AL$59:AL61),(Modèle!AL$14+Modèle!AL$17+Modèle!AL$50)-SUM(AL$59:AL61))</f>
        <v>0</v>
      </c>
      <c r="AM62" s="115">
        <f>IF((Modèle!AM$14+Modèle!AM$17+Modèle!AM$50)&gt;AM43,AM43-SUM(AM$59:AM61),(Modèle!AM$14+Modèle!AM$17+Modèle!AM$50)-SUM(AM$59:AM61))</f>
        <v>0</v>
      </c>
      <c r="AN62" s="115">
        <f>IF((Modèle!AN$14+Modèle!AN$17+Modèle!AN$50)&gt;AN43,AN43-SUM(AN$59:AN61),(Modèle!AN$14+Modèle!AN$17+Modèle!AN$50)-SUM(AN$59:AN61))</f>
        <v>0</v>
      </c>
      <c r="AO62" s="115">
        <f>IF((Modèle!AO$14+Modèle!AO$17+Modèle!AO$50)&gt;AO43,AO43-SUM(AO$59:AO61),(Modèle!AO$14+Modèle!AO$17+Modèle!AO$50)-SUM(AO$59:AO61))</f>
        <v>0</v>
      </c>
      <c r="AP62" s="115">
        <f>IF((Modèle!AP$14+Modèle!AP$17+Modèle!AP$50)&gt;AP43,AP43-SUM(AP$59:AP61),(Modèle!AP$14+Modèle!AP$17+Modèle!AP$50)-SUM(AP$59:AP61))</f>
        <v>0</v>
      </c>
      <c r="AQ62" s="115">
        <f>IF((Modèle!AQ$14+Modèle!AQ$17+Modèle!AQ$50)&gt;AQ43,AQ43-SUM(AQ$59:AQ61),(Modèle!AQ$14+Modèle!AQ$17+Modèle!AQ$50)-SUM(AQ$59:AQ61))</f>
        <v>0</v>
      </c>
      <c r="AR62" s="115">
        <f>IF((Modèle!AR$14+Modèle!AR$17+Modèle!AR$50)&gt;AR43,AR43-SUM(AR$59:AR61),(Modèle!AR$14+Modèle!AR$17+Modèle!AR$50)-SUM(AR$59:AR61))</f>
        <v>0</v>
      </c>
      <c r="AS62" s="115">
        <f>IF((Modèle!AS$14+Modèle!AS$17+Modèle!AS$50)&gt;AS43,AS43-SUM(AS$59:AS61),(Modèle!AS$14+Modèle!AS$17+Modèle!AS$50)-SUM(AS$59:AS61))</f>
        <v>0</v>
      </c>
      <c r="AT62" s="115">
        <f>IF((Modèle!AT$14+Modèle!AT$17+Modèle!AT$50)&gt;AT43,AT43-SUM(AT$59:AT61),(Modèle!AT$14+Modèle!AT$17+Modèle!AT$50)-SUM(AT$59:AT61))</f>
        <v>0</v>
      </c>
      <c r="AU62" s="115">
        <f>IF((Modèle!AU$14+Modèle!AU$17+Modèle!AU$50)&gt;AU43,AU43-SUM(AU$59:AU61),(Modèle!AU$14+Modèle!AU$17+Modèle!AU$50)-SUM(AU$59:AU61))</f>
        <v>0</v>
      </c>
      <c r="AV62" s="115">
        <f>IF((Modèle!AV$14+Modèle!AV$17+Modèle!AV$50)&gt;AV43,AV43-SUM(AV$59:AV61),(Modèle!AV$14+Modèle!AV$17+Modèle!AV$50)-SUM(AV$59:AV61))</f>
        <v>0</v>
      </c>
      <c r="AW62" s="115">
        <f>IF((Modèle!AW$14+Modèle!AW$17+Modèle!AW$50)&gt;AW43,AW43-SUM(AW$59:AW61),(Modèle!AW$14+Modèle!AW$17+Modèle!AW$50)-SUM(AW$59:AW61))</f>
        <v>0</v>
      </c>
      <c r="AX62" s="115">
        <f>IF((Modèle!AX$14+Modèle!AX$17+Modèle!AX$50)&gt;AX43,AX43-SUM(AX$59:AX61),(Modèle!AX$14+Modèle!AX$17+Modèle!AX$50)-SUM(AX$59:AX61))</f>
        <v>0</v>
      </c>
      <c r="AY62" s="115">
        <f>IF((Modèle!AY$14+Modèle!AY$17+Modèle!AY$50)&gt;AY43,AY43-SUM(AY$59:AY61),(Modèle!AY$14+Modèle!AY$17+Modèle!AY$50)-SUM(AY$59:AY61))</f>
        <v>0</v>
      </c>
      <c r="AZ62" s="115">
        <f>IF((Modèle!AZ$14+Modèle!AZ$17+Modèle!AZ$50)&gt;AZ43,AZ43-SUM(AZ$59:AZ61),(Modèle!AZ$14+Modèle!AZ$17+Modèle!AZ$50)-SUM(AZ$59:AZ61))</f>
        <v>0</v>
      </c>
      <c r="BA62" s="115">
        <f>IF((Modèle!BA$14+Modèle!BA$17+Modèle!BA$50)&gt;BA43,BA43-SUM(BA$59:BA61),(Modèle!BA$14+Modèle!BA$17+Modèle!BA$50)-SUM(BA$59:BA61))</f>
        <v>0</v>
      </c>
    </row>
    <row r="63" spans="2:53" ht="15">
      <c r="B63" s="172" t="s">
        <v>174</v>
      </c>
      <c r="C63" s="115">
        <f>IF((Modèle!C$14+Modèle!C$17+Modèle!C$50)&gt;C44,C44-SUM(C$59:C62),(Modèle!C$14+Modèle!C$17+Modèle!C$50)-SUM(C$59:C62))</f>
        <v>0</v>
      </c>
      <c r="D63" s="115">
        <f>IF((Modèle!D$14+Modèle!D$17+Modèle!D$50)&gt;D44,D44-SUM(D$59:D62),(Modèle!D$14+Modèle!D$17+Modèle!D$50)-SUM(D$59:D62))</f>
        <v>0</v>
      </c>
      <c r="E63" s="115">
        <f>IF((Modèle!E$14+Modèle!E$17+Modèle!E$50)&gt;E44,E44-SUM(E$59:E62),(Modèle!E$14+Modèle!E$17+Modèle!E$50)-SUM(E$59:E62))</f>
        <v>0</v>
      </c>
      <c r="F63" s="115">
        <f>IF((Modèle!F$14+Modèle!F$17+Modèle!F$50)&gt;F44,F44-SUM(F$59:F62),(Modèle!F$14+Modèle!F$17+Modèle!F$50)-SUM(F$59:F62))</f>
        <v>0</v>
      </c>
      <c r="G63" s="115">
        <f>IF((Modèle!G$14+Modèle!G$17+Modèle!G$50)&gt;G44,G44-SUM(G$59:G62),(Modèle!G$14+Modèle!G$17+Modèle!G$50)-SUM(G$59:G62))</f>
        <v>0</v>
      </c>
      <c r="H63" s="115">
        <f>IF((Modèle!H$14+Modèle!H$17+Modèle!H$50)&gt;H44,H44-SUM(H$59:H62),(Modèle!H$14+Modèle!H$17+Modèle!H$50)-SUM(H$59:H62))</f>
        <v>0</v>
      </c>
      <c r="I63" s="115">
        <f>IF((Modèle!I$14+Modèle!I$17+Modèle!I$50)&gt;I44,I44-SUM(I$59:I62),(Modèle!I$14+Modèle!I$17+Modèle!I$50)-SUM(I$59:I62))</f>
        <v>0</v>
      </c>
      <c r="J63" s="115">
        <f>IF((Modèle!J$14+Modèle!J$17+Modèle!J$50)&gt;J44,J44-SUM(J$59:J62),(Modèle!J$14+Modèle!J$17+Modèle!J$50)-SUM(J$59:J62))</f>
        <v>0</v>
      </c>
      <c r="K63" s="115">
        <f>IF((Modèle!K$14+Modèle!K$17+Modèle!K$50)&gt;K44,K44-SUM(K$59:K62),(Modèle!K$14+Modèle!K$17+Modèle!K$50)-SUM(K$59:K62))</f>
        <v>0</v>
      </c>
      <c r="L63" s="115">
        <f>IF((Modèle!L$14+Modèle!L$17+Modèle!L$50)&gt;L44,L44-SUM(L$59:L62),(Modèle!L$14+Modèle!L$17+Modèle!L$50)-SUM(L$59:L62))</f>
        <v>0</v>
      </c>
      <c r="M63" s="115">
        <f>IF((Modèle!M$14+Modèle!M$17+Modèle!M$50)&gt;M44,M44-SUM(M$59:M62),(Modèle!M$14+Modèle!M$17+Modèle!M$50)-SUM(M$59:M62))</f>
        <v>0</v>
      </c>
      <c r="N63" s="115">
        <f>IF((Modèle!N$14+Modèle!N$17+Modèle!N$50)&gt;N44,N44-SUM(N$59:N62),(Modèle!N$14+Modèle!N$17+Modèle!N$50)-SUM(N$59:N62))</f>
        <v>0</v>
      </c>
      <c r="O63" s="115">
        <f>IF((Modèle!O$14+Modèle!O$17+Modèle!O$50)&gt;O44,O44-SUM(O$59:O62),(Modèle!O$14+Modèle!O$17+Modèle!O$50)-SUM(O$59:O62))</f>
        <v>0</v>
      </c>
      <c r="P63" s="115">
        <f>IF((Modèle!P$14+Modèle!P$17+Modèle!P$50)&gt;P44,P44-SUM(P$59:P62),(Modèle!P$14+Modèle!P$17+Modèle!P$50)-SUM(P$59:P62))</f>
        <v>0</v>
      </c>
      <c r="Q63" s="115">
        <f>IF((Modèle!Q$14+Modèle!Q$17+Modèle!Q$50)&gt;Q44,Q44-SUM(Q$59:Q62),(Modèle!Q$14+Modèle!Q$17+Modèle!Q$50)-SUM(Q$59:Q62))</f>
        <v>0</v>
      </c>
      <c r="R63" s="115">
        <f>IF((Modèle!R$14+Modèle!R$17+Modèle!R$50)&gt;R44,R44-SUM(R$59:R62),(Modèle!R$14+Modèle!R$17+Modèle!R$50)-SUM(R$59:R62))</f>
        <v>0</v>
      </c>
      <c r="S63" s="115">
        <f>IF((Modèle!S$14+Modèle!S$17+Modèle!S$50)&gt;S44,S44-SUM(S$59:S62),(Modèle!S$14+Modèle!S$17+Modèle!S$50)-SUM(S$59:S62))</f>
        <v>0</v>
      </c>
      <c r="T63" s="115">
        <f>IF((Modèle!T$14+Modèle!T$17+Modèle!T$50)&gt;T44,T44-SUM(T$59:T62),(Modèle!T$14+Modèle!T$17+Modèle!T$50)-SUM(T$59:T62))</f>
        <v>0</v>
      </c>
      <c r="U63" s="115">
        <f>IF((Modèle!U$14+Modèle!U$17+Modèle!U$50)&gt;U44,U44-SUM(U$59:U62),(Modèle!U$14+Modèle!U$17+Modèle!U$50)-SUM(U$59:U62))</f>
        <v>0</v>
      </c>
      <c r="V63" s="115">
        <f>IF((Modèle!V$14+Modèle!V$17+Modèle!V$50)&gt;V44,V44-SUM(V$59:V62),(Modèle!V$14+Modèle!V$17+Modèle!V$50)-SUM(V$59:V62))</f>
        <v>0</v>
      </c>
      <c r="W63" s="115">
        <f>IF((Modèle!W$14+Modèle!W$17+Modèle!W$50)&gt;W44,W44-SUM(W$59:W62),(Modèle!W$14+Modèle!W$17+Modèle!W$50)-SUM(W$59:W62))</f>
        <v>0</v>
      </c>
      <c r="X63" s="115">
        <f>IF((Modèle!X$14+Modèle!X$17+Modèle!X$50)&gt;X44,X44-SUM(X$59:X62),(Modèle!X$14+Modèle!X$17+Modèle!X$50)-SUM(X$59:X62))</f>
        <v>0</v>
      </c>
      <c r="Y63" s="115">
        <f>IF((Modèle!Y$14+Modèle!Y$17+Modèle!Y$50)&gt;Y44,Y44-SUM(Y$59:Y62),(Modèle!Y$14+Modèle!Y$17+Modèle!Y$50)-SUM(Y$59:Y62))</f>
        <v>0</v>
      </c>
      <c r="Z63" s="115">
        <f>IF((Modèle!Z$14+Modèle!Z$17+Modèle!Z$50)&gt;Z44,Z44-SUM(Z$59:Z62),(Modèle!Z$14+Modèle!Z$17+Modèle!Z$50)-SUM(Z$59:Z62))</f>
        <v>0</v>
      </c>
      <c r="AA63" s="115">
        <f>IF((Modèle!AA$14+Modèle!AA$17+Modèle!AA$50)&gt;AA44,AA44-SUM(AA$59:AA62),(Modèle!AA$14+Modèle!AA$17+Modèle!AA$50)-SUM(AA$59:AA62))</f>
        <v>0</v>
      </c>
      <c r="AB63" s="115">
        <f>IF((Modèle!AB$14+Modèle!AB$17+Modèle!AB$50)&gt;AB44,AB44-SUM(AB$59:AB62),(Modèle!AB$14+Modèle!AB$17+Modèle!AB$50)-SUM(AB$59:AB62))</f>
        <v>0</v>
      </c>
      <c r="AC63" s="115">
        <f>IF((Modèle!AC$14+Modèle!AC$17+Modèle!AC$50)&gt;AC44,AC44-SUM(AC$59:AC62),(Modèle!AC$14+Modèle!AC$17+Modèle!AC$50)-SUM(AC$59:AC62))</f>
        <v>0</v>
      </c>
      <c r="AD63" s="115">
        <f>IF((Modèle!AD$14+Modèle!AD$17+Modèle!AD$50)&gt;AD44,AD44-SUM(AD$59:AD62),(Modèle!AD$14+Modèle!AD$17+Modèle!AD$50)-SUM(AD$59:AD62))</f>
        <v>0</v>
      </c>
      <c r="AE63" s="115">
        <f>IF((Modèle!AE$14+Modèle!AE$17+Modèle!AE$50)&gt;AE44,AE44-SUM(AE$59:AE62),(Modèle!AE$14+Modèle!AE$17+Modèle!AE$50)-SUM(AE$59:AE62))</f>
        <v>0</v>
      </c>
      <c r="AF63" s="115">
        <f>IF((Modèle!AF$14+Modèle!AF$17+Modèle!AF$50)&gt;AF44,AF44-SUM(AF$59:AF62),(Modèle!AF$14+Modèle!AF$17+Modèle!AF$50)-SUM(AF$59:AF62))</f>
        <v>0</v>
      </c>
      <c r="AG63" s="115">
        <f>IF((Modèle!AG$14+Modèle!AG$17+Modèle!AG$50)&gt;AG44,AG44-SUM(AG$59:AG62),(Modèle!AG$14+Modèle!AG$17+Modèle!AG$50)-SUM(AG$59:AG62))</f>
        <v>0</v>
      </c>
      <c r="AH63" s="115">
        <f>IF((Modèle!AH$14+Modèle!AH$17+Modèle!AH$50)&gt;AH44,AH44-SUM(AH$59:AH62),(Modèle!AH$14+Modèle!AH$17+Modèle!AH$50)-SUM(AH$59:AH62))</f>
        <v>0</v>
      </c>
      <c r="AI63" s="115">
        <f>IF((Modèle!AI$14+Modèle!AI$17+Modèle!AI$50)&gt;AI44,AI44-SUM(AI$59:AI62),(Modèle!AI$14+Modèle!AI$17+Modèle!AI$50)-SUM(AI$59:AI62))</f>
        <v>0</v>
      </c>
      <c r="AJ63" s="115">
        <f>IF((Modèle!AJ$14+Modèle!AJ$17+Modèle!AJ$50)&gt;AJ44,AJ44-SUM(AJ$59:AJ62),(Modèle!AJ$14+Modèle!AJ$17+Modèle!AJ$50)-SUM(AJ$59:AJ62))</f>
        <v>0</v>
      </c>
      <c r="AK63" s="115">
        <f>IF((Modèle!AK$14+Modèle!AK$17+Modèle!AK$50)&gt;AK44,AK44-SUM(AK$59:AK62),(Modèle!AK$14+Modèle!AK$17+Modèle!AK$50)-SUM(AK$59:AK62))</f>
        <v>0</v>
      </c>
      <c r="AL63" s="115">
        <f>IF((Modèle!AL$14+Modèle!AL$17+Modèle!AL$50)&gt;AL44,AL44-SUM(AL$59:AL62),(Modèle!AL$14+Modèle!AL$17+Modèle!AL$50)-SUM(AL$59:AL62))</f>
        <v>0</v>
      </c>
      <c r="AM63" s="115">
        <f>IF((Modèle!AM$14+Modèle!AM$17+Modèle!AM$50)&gt;AM44,AM44-SUM(AM$59:AM62),(Modèle!AM$14+Modèle!AM$17+Modèle!AM$50)-SUM(AM$59:AM62))</f>
        <v>0</v>
      </c>
      <c r="AN63" s="115">
        <f>IF((Modèle!AN$14+Modèle!AN$17+Modèle!AN$50)&gt;AN44,AN44-SUM(AN$59:AN62),(Modèle!AN$14+Modèle!AN$17+Modèle!AN$50)-SUM(AN$59:AN62))</f>
        <v>0</v>
      </c>
      <c r="AO63" s="115">
        <f>IF((Modèle!AO$14+Modèle!AO$17+Modèle!AO$50)&gt;AO44,AO44-SUM(AO$59:AO62),(Modèle!AO$14+Modèle!AO$17+Modèle!AO$50)-SUM(AO$59:AO62))</f>
        <v>0</v>
      </c>
      <c r="AP63" s="115">
        <f>IF((Modèle!AP$14+Modèle!AP$17+Modèle!AP$50)&gt;AP44,AP44-SUM(AP$59:AP62),(Modèle!AP$14+Modèle!AP$17+Modèle!AP$50)-SUM(AP$59:AP62))</f>
        <v>0</v>
      </c>
      <c r="AQ63" s="115">
        <f>IF((Modèle!AQ$14+Modèle!AQ$17+Modèle!AQ$50)&gt;AQ44,AQ44-SUM(AQ$59:AQ62),(Modèle!AQ$14+Modèle!AQ$17+Modèle!AQ$50)-SUM(AQ$59:AQ62))</f>
        <v>0</v>
      </c>
      <c r="AR63" s="115">
        <f>IF((Modèle!AR$14+Modèle!AR$17+Modèle!AR$50)&gt;AR44,AR44-SUM(AR$59:AR62),(Modèle!AR$14+Modèle!AR$17+Modèle!AR$50)-SUM(AR$59:AR62))</f>
        <v>0</v>
      </c>
      <c r="AS63" s="115">
        <f>IF((Modèle!AS$14+Modèle!AS$17+Modèle!AS$50)&gt;AS44,AS44-SUM(AS$59:AS62),(Modèle!AS$14+Modèle!AS$17+Modèle!AS$50)-SUM(AS$59:AS62))</f>
        <v>0</v>
      </c>
      <c r="AT63" s="115">
        <f>IF((Modèle!AT$14+Modèle!AT$17+Modèle!AT$50)&gt;AT44,AT44-SUM(AT$59:AT62),(Modèle!AT$14+Modèle!AT$17+Modèle!AT$50)-SUM(AT$59:AT62))</f>
        <v>0</v>
      </c>
      <c r="AU63" s="115">
        <f>IF((Modèle!AU$14+Modèle!AU$17+Modèle!AU$50)&gt;AU44,AU44-SUM(AU$59:AU62),(Modèle!AU$14+Modèle!AU$17+Modèle!AU$50)-SUM(AU$59:AU62))</f>
        <v>0</v>
      </c>
      <c r="AV63" s="115">
        <f>IF((Modèle!AV$14+Modèle!AV$17+Modèle!AV$50)&gt;AV44,AV44-SUM(AV$59:AV62),(Modèle!AV$14+Modèle!AV$17+Modèle!AV$50)-SUM(AV$59:AV62))</f>
        <v>0</v>
      </c>
      <c r="AW63" s="115">
        <f>IF((Modèle!AW$14+Modèle!AW$17+Modèle!AW$50)&gt;AW44,AW44-SUM(AW$59:AW62),(Modèle!AW$14+Modèle!AW$17+Modèle!AW$50)-SUM(AW$59:AW62))</f>
        <v>0</v>
      </c>
      <c r="AX63" s="115">
        <f>IF((Modèle!AX$14+Modèle!AX$17+Modèle!AX$50)&gt;AX44,AX44-SUM(AX$59:AX62),(Modèle!AX$14+Modèle!AX$17+Modèle!AX$50)-SUM(AX$59:AX62))</f>
        <v>0</v>
      </c>
      <c r="AY63" s="115">
        <f>IF((Modèle!AY$14+Modèle!AY$17+Modèle!AY$50)&gt;AY44,AY44-SUM(AY$59:AY62),(Modèle!AY$14+Modèle!AY$17+Modèle!AY$50)-SUM(AY$59:AY62))</f>
        <v>0</v>
      </c>
      <c r="AZ63" s="115">
        <f>IF((Modèle!AZ$14+Modèle!AZ$17+Modèle!AZ$50)&gt;AZ44,AZ44-SUM(AZ$59:AZ62),(Modèle!AZ$14+Modèle!AZ$17+Modèle!AZ$50)-SUM(AZ$59:AZ62))</f>
        <v>0</v>
      </c>
      <c r="BA63" s="115">
        <f>IF((Modèle!BA$14+Modèle!BA$17+Modèle!BA$50)&gt;BA44,BA44-SUM(BA$59:BA62),(Modèle!BA$14+Modèle!BA$17+Modèle!BA$50)-SUM(BA$59:BA62))</f>
        <v>0</v>
      </c>
    </row>
    <row r="64" spans="2:53" ht="15">
      <c r="B64" s="172" t="s">
        <v>175</v>
      </c>
      <c r="C64" s="115">
        <f>IF(((Modèle!C$14+Modèle!C$17+Modèle!C$50)-SUM(C59:C63))&gt;0,((Modèle!C$14+Modèle!C$17+Modèle!C$50)-SUM(C59:C63)),0)</f>
        <v>0</v>
      </c>
      <c r="D64" s="115">
        <f>IF(((Modèle!D$14+Modèle!D$17+Modèle!D$50)-SUM(D59:D63))&gt;0,((Modèle!D$14+Modèle!D$17+Modèle!D$50)-SUM(D59:D63)),0)</f>
        <v>0</v>
      </c>
      <c r="E64" s="115">
        <f>IF(((Modèle!E$14+Modèle!E$17+Modèle!E$50)-SUM(E59:E63))&gt;0,((Modèle!E$14+Modèle!E$17+Modèle!E$50)-SUM(E59:E63)),0)</f>
        <v>0</v>
      </c>
      <c r="F64" s="115">
        <f>IF(((Modèle!F$14+Modèle!F$17+Modèle!F$50)-SUM(F59:F63))&gt;0,((Modèle!F$14+Modèle!F$17+Modèle!F$50)-SUM(F59:F63)),0)</f>
        <v>0</v>
      </c>
      <c r="G64" s="115">
        <f>IF(((Modèle!G$14+Modèle!G$17+Modèle!G$50)-SUM(G59:G63))&gt;0,((Modèle!G$14+Modèle!G$17+Modèle!G$50)-SUM(G59:G63)),0)</f>
        <v>0</v>
      </c>
      <c r="H64" s="115">
        <f>IF(((Modèle!H$14+Modèle!H$17+Modèle!H$50)-SUM(H59:H63))&gt;0,((Modèle!H$14+Modèle!H$17+Modèle!H$50)-SUM(H59:H63)),0)</f>
        <v>0</v>
      </c>
      <c r="I64" s="115">
        <f>IF(((Modèle!I$14+Modèle!I$17+Modèle!I$50)-SUM(I59:I63))&gt;0,((Modèle!I$14+Modèle!I$17+Modèle!I$50)-SUM(I59:I63)),0)</f>
        <v>0</v>
      </c>
      <c r="J64" s="115">
        <f>IF(((Modèle!J$14+Modèle!J$17+Modèle!J$50)-SUM(J59:J63))&gt;0,((Modèle!J$14+Modèle!J$17+Modèle!J$50)-SUM(J59:J63)),0)</f>
        <v>0</v>
      </c>
      <c r="K64" s="115">
        <f>IF(((Modèle!K$14+Modèle!K$17+Modèle!K$50)-SUM(K59:K63))&gt;0,((Modèle!K$14+Modèle!K$17+Modèle!K$50)-SUM(K59:K63)),0)</f>
        <v>0</v>
      </c>
      <c r="L64" s="115">
        <f>IF(((Modèle!L$14+Modèle!L$17+Modèle!L$50)-SUM(L59:L63))&gt;0,((Modèle!L$14+Modèle!L$17+Modèle!L$50)-SUM(L59:L63)),0)</f>
        <v>0</v>
      </c>
      <c r="M64" s="115">
        <f>IF(((Modèle!M$14+Modèle!M$17+Modèle!M$50)-SUM(M59:M63))&gt;0,((Modèle!M$14+Modèle!M$17+Modèle!M$50)-SUM(M59:M63)),0)</f>
        <v>0</v>
      </c>
      <c r="N64" s="115">
        <f>IF(((Modèle!N$14+Modèle!N$17+Modèle!N$50)-SUM(N59:N63))&gt;0,((Modèle!N$14+Modèle!N$17+Modèle!N$50)-SUM(N59:N63)),0)</f>
        <v>0</v>
      </c>
      <c r="O64" s="115">
        <f>IF(((Modèle!O$14+Modèle!O$17+Modèle!O$50)-SUM(O59:O63))&gt;0,((Modèle!O$14+Modèle!O$17+Modèle!O$50)-SUM(O59:O63)),0)</f>
        <v>0</v>
      </c>
      <c r="P64" s="115">
        <f>IF(((Modèle!P$14+Modèle!P$17+Modèle!P$50)-SUM(P59:P63))&gt;0,((Modèle!P$14+Modèle!P$17+Modèle!P$50)-SUM(P59:P63)),0)</f>
        <v>0</v>
      </c>
      <c r="Q64" s="115">
        <f>IF(((Modèle!Q$14+Modèle!Q$17+Modèle!Q$50)-SUM(Q59:Q63))&gt;0,((Modèle!Q$14+Modèle!Q$17+Modèle!Q$50)-SUM(Q59:Q63)),0)</f>
        <v>0</v>
      </c>
      <c r="R64" s="115">
        <f>IF(((Modèle!R$14+Modèle!R$17+Modèle!R$50)-SUM(R59:R63))&gt;0,((Modèle!R$14+Modèle!R$17+Modèle!R$50)-SUM(R59:R63)),0)</f>
        <v>0</v>
      </c>
      <c r="S64" s="115">
        <f>IF(((Modèle!S$14+Modèle!S$17+Modèle!S$50)-SUM(S59:S63))&gt;0,((Modèle!S$14+Modèle!S$17+Modèle!S$50)-SUM(S59:S63)),0)</f>
        <v>0</v>
      </c>
      <c r="T64" s="115">
        <f>IF(((Modèle!T$14+Modèle!T$17+Modèle!T$50)-SUM(T59:T63))&gt;0,((Modèle!T$14+Modèle!T$17+Modèle!T$50)-SUM(T59:T63)),0)</f>
        <v>0</v>
      </c>
      <c r="U64" s="115">
        <f>IF(((Modèle!U$14+Modèle!U$17+Modèle!U$50)-SUM(U59:U63))&gt;0,((Modèle!U$14+Modèle!U$17+Modèle!U$50)-SUM(U59:U63)),0)</f>
        <v>0</v>
      </c>
      <c r="V64" s="115">
        <f>IF(((Modèle!V$14+Modèle!V$17+Modèle!V$50)-SUM(V59:V63))&gt;0,((Modèle!V$14+Modèle!V$17+Modèle!V$50)-SUM(V59:V63)),0)</f>
        <v>0</v>
      </c>
      <c r="W64" s="115">
        <f>IF(((Modèle!W$14+Modèle!W$17+Modèle!W$50)-SUM(W59:W63))&gt;0,((Modèle!W$14+Modèle!W$17+Modèle!W$50)-SUM(W59:W63)),0)</f>
        <v>0</v>
      </c>
      <c r="X64" s="115">
        <f>IF(((Modèle!X$14+Modèle!X$17+Modèle!X$50)-SUM(X59:X63))&gt;0,((Modèle!X$14+Modèle!X$17+Modèle!X$50)-SUM(X59:X63)),0)</f>
        <v>0</v>
      </c>
      <c r="Y64" s="115">
        <f>IF(((Modèle!Y$14+Modèle!Y$17+Modèle!Y$50)-SUM(Y59:Y63))&gt;0,((Modèle!Y$14+Modèle!Y$17+Modèle!Y$50)-SUM(Y59:Y63)),0)</f>
        <v>0</v>
      </c>
      <c r="Z64" s="115">
        <f>IF(((Modèle!Z$14+Modèle!Z$17+Modèle!Z$50)-SUM(Z59:Z63))&gt;0,((Modèle!Z$14+Modèle!Z$17+Modèle!Z$50)-SUM(Z59:Z63)),0)</f>
        <v>0</v>
      </c>
      <c r="AA64" s="115">
        <f>IF(((Modèle!AA$14+Modèle!AA$17+Modèle!AA$50)-SUM(AA59:AA63))&gt;0,((Modèle!AA$14+Modèle!AA$17+Modèle!AA$50)-SUM(AA59:AA63)),0)</f>
        <v>0</v>
      </c>
      <c r="AB64" s="115">
        <f>IF(((Modèle!AB$14+Modèle!AB$17+Modèle!AB$50)-SUM(AB59:AB63))&gt;0,((Modèle!AB$14+Modèle!AB$17+Modèle!AB$50)-SUM(AB59:AB63)),0)</f>
        <v>0</v>
      </c>
      <c r="AC64" s="115">
        <f>IF(((Modèle!AC$14+Modèle!AC$17+Modèle!AC$50)-SUM(AC59:AC63))&gt;0,((Modèle!AC$14+Modèle!AC$17+Modèle!AC$50)-SUM(AC59:AC63)),0)</f>
        <v>0</v>
      </c>
      <c r="AD64" s="115">
        <f>IF(((Modèle!AD$14+Modèle!AD$17+Modèle!AD$50)-SUM(AD59:AD63))&gt;0,((Modèle!AD$14+Modèle!AD$17+Modèle!AD$50)-SUM(AD59:AD63)),0)</f>
        <v>0</v>
      </c>
      <c r="AE64" s="115">
        <f>IF(((Modèle!AE$14+Modèle!AE$17+Modèle!AE$50)-SUM(AE59:AE63))&gt;0,((Modèle!AE$14+Modèle!AE$17+Modèle!AE$50)-SUM(AE59:AE63)),0)</f>
        <v>0</v>
      </c>
      <c r="AF64" s="115">
        <f>IF(((Modèle!AF$14+Modèle!AF$17+Modèle!AF$50)-SUM(AF59:AF63))&gt;0,((Modèle!AF$14+Modèle!AF$17+Modèle!AF$50)-SUM(AF59:AF63)),0)</f>
        <v>0</v>
      </c>
      <c r="AG64" s="115">
        <f>IF(((Modèle!AG$14+Modèle!AG$17+Modèle!AG$50)-SUM(AG59:AG63))&gt;0,((Modèle!AG$14+Modèle!AG$17+Modèle!AG$50)-SUM(AG59:AG63)),0)</f>
        <v>0</v>
      </c>
      <c r="AH64" s="115">
        <f>IF(((Modèle!AH$14+Modèle!AH$17+Modèle!AH$50)-SUM(AH59:AH63))&gt;0,((Modèle!AH$14+Modèle!AH$17+Modèle!AH$50)-SUM(AH59:AH63)),0)</f>
        <v>0</v>
      </c>
      <c r="AI64" s="115">
        <f>IF(((Modèle!AI$14+Modèle!AI$17+Modèle!AI$50)-SUM(AI59:AI63))&gt;0,((Modèle!AI$14+Modèle!AI$17+Modèle!AI$50)-SUM(AI59:AI63)),0)</f>
        <v>0</v>
      </c>
      <c r="AJ64" s="115">
        <f>IF(((Modèle!AJ$14+Modèle!AJ$17+Modèle!AJ$50)-SUM(AJ59:AJ63))&gt;0,((Modèle!AJ$14+Modèle!AJ$17+Modèle!AJ$50)-SUM(AJ59:AJ63)),0)</f>
        <v>0</v>
      </c>
      <c r="AK64" s="115">
        <f>IF(((Modèle!AK$14+Modèle!AK$17+Modèle!AK$50)-SUM(AK59:AK63))&gt;0,((Modèle!AK$14+Modèle!AK$17+Modèle!AK$50)-SUM(AK59:AK63)),0)</f>
        <v>0</v>
      </c>
      <c r="AL64" s="115">
        <f>IF(((Modèle!AL$14+Modèle!AL$17+Modèle!AL$50)-SUM(AL59:AL63))&gt;0,((Modèle!AL$14+Modèle!AL$17+Modèle!AL$50)-SUM(AL59:AL63)),0)</f>
        <v>0</v>
      </c>
      <c r="AM64" s="115">
        <f>IF(((Modèle!AM$14+Modèle!AM$17+Modèle!AM$50)-SUM(AM59:AM63))&gt;0,((Modèle!AM$14+Modèle!AM$17+Modèle!AM$50)-SUM(AM59:AM63)),0)</f>
        <v>0</v>
      </c>
      <c r="AN64" s="115">
        <f>IF(((Modèle!AN$14+Modèle!AN$17+Modèle!AN$50)-SUM(AN59:AN63))&gt;0,((Modèle!AN$14+Modèle!AN$17+Modèle!AN$50)-SUM(AN59:AN63)),0)</f>
        <v>0</v>
      </c>
      <c r="AO64" s="115">
        <f>IF(((Modèle!AO$14+Modèle!AO$17+Modèle!AO$50)-SUM(AO59:AO63))&gt;0,((Modèle!AO$14+Modèle!AO$17+Modèle!AO$50)-SUM(AO59:AO63)),0)</f>
        <v>0</v>
      </c>
      <c r="AP64" s="115">
        <f>IF(((Modèle!AP$14+Modèle!AP$17+Modèle!AP$50)-SUM(AP59:AP63))&gt;0,((Modèle!AP$14+Modèle!AP$17+Modèle!AP$50)-SUM(AP59:AP63)),0)</f>
        <v>0</v>
      </c>
      <c r="AQ64" s="115">
        <f>IF(((Modèle!AQ$14+Modèle!AQ$17+Modèle!AQ$50)-SUM(AQ59:AQ63))&gt;0,((Modèle!AQ$14+Modèle!AQ$17+Modèle!AQ$50)-SUM(AQ59:AQ63)),0)</f>
        <v>0</v>
      </c>
      <c r="AR64" s="115">
        <f>IF(((Modèle!AR$14+Modèle!AR$17+Modèle!AR$50)-SUM(AR59:AR63))&gt;0,((Modèle!AR$14+Modèle!AR$17+Modèle!AR$50)-SUM(AR59:AR63)),0)</f>
        <v>0</v>
      </c>
      <c r="AS64" s="115">
        <f>IF(((Modèle!AS$14+Modèle!AS$17+Modèle!AS$50)-SUM(AS59:AS63))&gt;0,((Modèle!AS$14+Modèle!AS$17+Modèle!AS$50)-SUM(AS59:AS63)),0)</f>
        <v>0</v>
      </c>
      <c r="AT64" s="115">
        <f>IF(((Modèle!AT$14+Modèle!AT$17+Modèle!AT$50)-SUM(AT59:AT63))&gt;0,((Modèle!AT$14+Modèle!AT$17+Modèle!AT$50)-SUM(AT59:AT63)),0)</f>
        <v>0</v>
      </c>
      <c r="AU64" s="115">
        <f>IF(((Modèle!AU$14+Modèle!AU$17+Modèle!AU$50)-SUM(AU59:AU63))&gt;0,((Modèle!AU$14+Modèle!AU$17+Modèle!AU$50)-SUM(AU59:AU63)),0)</f>
        <v>0</v>
      </c>
      <c r="AV64" s="115">
        <f>IF(((Modèle!AV$14+Modèle!AV$17+Modèle!AV$50)-SUM(AV59:AV63))&gt;0,((Modèle!AV$14+Modèle!AV$17+Modèle!AV$50)-SUM(AV59:AV63)),0)</f>
        <v>0</v>
      </c>
      <c r="AW64" s="115">
        <f>IF(((Modèle!AW$14+Modèle!AW$17+Modèle!AW$50)-SUM(AW59:AW63))&gt;0,((Modèle!AW$14+Modèle!AW$17+Modèle!AW$50)-SUM(AW59:AW63)),0)</f>
        <v>0</v>
      </c>
      <c r="AX64" s="115">
        <f>IF(((Modèle!AX$14+Modèle!AX$17+Modèle!AX$50)-SUM(AX59:AX63))&gt;0,((Modèle!AX$14+Modèle!AX$17+Modèle!AX$50)-SUM(AX59:AX63)),0)</f>
        <v>0</v>
      </c>
      <c r="AY64" s="115">
        <f>IF(((Modèle!AY$14+Modèle!AY$17+Modèle!AY$50)-SUM(AY59:AY63))&gt;0,((Modèle!AY$14+Modèle!AY$17+Modèle!AY$50)-SUM(AY59:AY63)),0)</f>
        <v>0</v>
      </c>
      <c r="AZ64" s="115">
        <f>IF(((Modèle!AZ$14+Modèle!AZ$17+Modèle!AZ$50)-SUM(AZ59:AZ63))&gt;0,((Modèle!AZ$14+Modèle!AZ$17+Modèle!AZ$50)-SUM(AZ59:AZ63)),0)</f>
        <v>0</v>
      </c>
      <c r="BA64" s="115">
        <f>IF(((Modèle!BA$14+Modèle!BA$17+Modèle!BA$50)-SUM(BA59:BA63))&gt;0,((Modèle!BA$14+Modèle!BA$17+Modèle!BA$50)-SUM(BA59:BA63)),0)</f>
        <v>0</v>
      </c>
    </row>
    <row r="66" spans="2:53" ht="15">
      <c r="B66" s="172" t="s">
        <v>185</v>
      </c>
      <c r="C66" s="116">
        <f>SUMPRODUCT(C59:C64,C49:C54)</f>
        <v>933.645</v>
      </c>
      <c r="D66" s="116">
        <f aca="true" t="shared" si="21" ref="D66:BA66">SUMPRODUCT(D59:D64,D49:D54)</f>
        <v>952.3179000000002</v>
      </c>
      <c r="E66" s="116">
        <f t="shared" si="21"/>
        <v>971.3642580000003</v>
      </c>
      <c r="F66" s="116">
        <f t="shared" si="21"/>
        <v>990.79154316</v>
      </c>
      <c r="G66" s="116">
        <f t="shared" si="21"/>
        <v>1010.6073740232005</v>
      </c>
      <c r="H66" s="116">
        <f t="shared" si="21"/>
        <v>1030.8195215036642</v>
      </c>
      <c r="I66" s="116">
        <f t="shared" si="21"/>
        <v>1051.4359119337375</v>
      </c>
      <c r="J66" s="116">
        <f t="shared" si="21"/>
        <v>1072.4646301724126</v>
      </c>
      <c r="K66" s="116">
        <f t="shared" si="21"/>
        <v>1093.9139227758608</v>
      </c>
      <c r="L66" s="116">
        <f t="shared" si="21"/>
        <v>1115.792201231378</v>
      </c>
      <c r="M66" s="116">
        <f t="shared" si="21"/>
        <v>1407.950386510374</v>
      </c>
      <c r="N66" s="116">
        <f t="shared" si="21"/>
        <v>1436.109394240582</v>
      </c>
      <c r="O66" s="116">
        <f t="shared" si="21"/>
        <v>1464.8315821253937</v>
      </c>
      <c r="P66" s="116">
        <f t="shared" si="21"/>
        <v>1494.1282137679018</v>
      </c>
      <c r="Q66" s="116">
        <f t="shared" si="21"/>
        <v>1524.0107780432595</v>
      </c>
      <c r="R66" s="116">
        <f t="shared" si="21"/>
        <v>1554.490993604125</v>
      </c>
      <c r="S66" s="116">
        <f t="shared" si="21"/>
        <v>1585.580813476207</v>
      </c>
      <c r="T66" s="116">
        <f t="shared" si="21"/>
        <v>1617.2924297457312</v>
      </c>
      <c r="U66" s="116">
        <f t="shared" si="21"/>
        <v>1649.6382783406455</v>
      </c>
      <c r="V66" s="116">
        <f t="shared" si="21"/>
        <v>1682.6310439074587</v>
      </c>
      <c r="W66" s="116">
        <f t="shared" si="21"/>
        <v>1716.2836647856075</v>
      </c>
      <c r="X66" s="116">
        <f t="shared" si="21"/>
        <v>1750.6093380813195</v>
      </c>
      <c r="Y66" s="116">
        <f t="shared" si="21"/>
        <v>1785.6215248429457</v>
      </c>
      <c r="Z66" s="116">
        <f t="shared" si="21"/>
        <v>1821.333955339804</v>
      </c>
      <c r="AA66" s="116">
        <f t="shared" si="21"/>
        <v>1857.7606344466</v>
      </c>
      <c r="AB66" s="116">
        <f t="shared" si="21"/>
        <v>1894.915847135532</v>
      </c>
      <c r="AC66" s="116">
        <f t="shared" si="21"/>
        <v>1932.8141640782426</v>
      </c>
      <c r="AD66" s="116">
        <f t="shared" si="21"/>
        <v>1971.4704473598076</v>
      </c>
      <c r="AE66" s="116">
        <f t="shared" si="21"/>
        <v>2010.8998563070038</v>
      </c>
      <c r="AF66" s="116">
        <f t="shared" si="21"/>
        <v>2051.117853433144</v>
      </c>
      <c r="AG66" s="116">
        <f t="shared" si="21"/>
        <v>2532.422668569482</v>
      </c>
      <c r="AH66" s="116">
        <f t="shared" si="21"/>
        <v>2583.071121940871</v>
      </c>
      <c r="AI66" s="116">
        <f t="shared" si="21"/>
        <v>2634.732544379689</v>
      </c>
      <c r="AJ66" s="116">
        <f t="shared" si="21"/>
        <v>2687.4271952672825</v>
      </c>
      <c r="AK66" s="116">
        <f t="shared" si="21"/>
        <v>2741.1757391726287</v>
      </c>
      <c r="AL66" s="116">
        <f t="shared" si="21"/>
        <v>2795.9992539560812</v>
      </c>
      <c r="AM66" s="116">
        <f t="shared" si="21"/>
        <v>2851.9192390352023</v>
      </c>
      <c r="AN66" s="116">
        <f t="shared" si="21"/>
        <v>2908.957623815906</v>
      </c>
      <c r="AO66" s="116">
        <f t="shared" si="21"/>
        <v>2967.1367762922237</v>
      </c>
      <c r="AP66" s="116">
        <f t="shared" si="21"/>
        <v>3026.479511818068</v>
      </c>
      <c r="AQ66" s="116">
        <f t="shared" si="21"/>
        <v>3087.009102054429</v>
      </c>
      <c r="AR66" s="116">
        <f t="shared" si="21"/>
        <v>3148.7492840955174</v>
      </c>
      <c r="AS66" s="116">
        <f t="shared" si="21"/>
        <v>283.39262059936544</v>
      </c>
      <c r="AT66" s="116">
        <f t="shared" si="21"/>
        <v>289.0604730113527</v>
      </c>
      <c r="AU66" s="116">
        <f t="shared" si="21"/>
        <v>294.84168247157976</v>
      </c>
      <c r="AV66" s="116">
        <f t="shared" si="21"/>
        <v>300.7385161210114</v>
      </c>
      <c r="AW66" s="116">
        <f t="shared" si="21"/>
        <v>306.75328644343176</v>
      </c>
      <c r="AX66" s="116">
        <f t="shared" si="21"/>
        <v>312.8883521723005</v>
      </c>
      <c r="AY66" s="116">
        <f t="shared" si="21"/>
        <v>319.14611921574635</v>
      </c>
      <c r="AZ66" s="116">
        <f t="shared" si="21"/>
        <v>325.5290416000612</v>
      </c>
      <c r="BA66" s="116">
        <f t="shared" si="21"/>
        <v>332.03962243206263</v>
      </c>
    </row>
    <row r="67" spans="2:53" ht="15">
      <c r="B67" s="172" t="s">
        <v>187</v>
      </c>
      <c r="C67" s="116">
        <f>C33+C20</f>
        <v>1012.7375999999998</v>
      </c>
      <c r="D67" s="116">
        <f>D33+D20</f>
        <v>1032.992352</v>
      </c>
      <c r="E67" s="116">
        <f>E33+E20</f>
        <v>1053.65219904</v>
      </c>
      <c r="F67" s="116">
        <f>F33+F20</f>
        <v>1074.7252430208</v>
      </c>
      <c r="G67" s="116">
        <f aca="true" t="shared" si="22" ref="G67:AZ67">G33+G20</f>
        <v>1096.219747881216</v>
      </c>
      <c r="H67" s="116">
        <f t="shared" si="22"/>
        <v>1118.1441428388403</v>
      </c>
      <c r="I67" s="116">
        <f t="shared" si="22"/>
        <v>1140.5070256956174</v>
      </c>
      <c r="J67" s="116">
        <f t="shared" si="22"/>
        <v>1163.3171662095294</v>
      </c>
      <c r="K67" s="116">
        <f t="shared" si="22"/>
        <v>1186.5835095337202</v>
      </c>
      <c r="L67" s="116">
        <f t="shared" si="22"/>
        <v>1210.3151797243945</v>
      </c>
      <c r="M67" s="116">
        <f t="shared" si="22"/>
        <v>1355.553001291322</v>
      </c>
      <c r="N67" s="116">
        <f t="shared" si="22"/>
        <v>1382.6640613171485</v>
      </c>
      <c r="O67" s="116">
        <f t="shared" si="22"/>
        <v>1410.3173425434913</v>
      </c>
      <c r="P67" s="116">
        <f t="shared" si="22"/>
        <v>1438.5236893943613</v>
      </c>
      <c r="Q67" s="116">
        <f t="shared" si="22"/>
        <v>1467.2941631822484</v>
      </c>
      <c r="R67" s="116">
        <f t="shared" si="22"/>
        <v>1496.6400464458934</v>
      </c>
      <c r="S67" s="116">
        <f t="shared" si="22"/>
        <v>1526.5728473748113</v>
      </c>
      <c r="T67" s="116">
        <f t="shared" si="22"/>
        <v>1557.1043043223076</v>
      </c>
      <c r="U67" s="116">
        <f t="shared" si="22"/>
        <v>1588.2463904087538</v>
      </c>
      <c r="V67" s="116">
        <f t="shared" si="22"/>
        <v>1620.0113182169287</v>
      </c>
      <c r="W67" s="116">
        <f t="shared" si="22"/>
        <v>1652.4115445812674</v>
      </c>
      <c r="X67" s="116">
        <f t="shared" si="22"/>
        <v>1685.4597754728925</v>
      </c>
      <c r="Y67" s="116">
        <f t="shared" si="22"/>
        <v>1719.1689709823504</v>
      </c>
      <c r="Z67" s="116">
        <f t="shared" si="22"/>
        <v>1753.5523504019975</v>
      </c>
      <c r="AA67" s="116">
        <f t="shared" si="22"/>
        <v>1788.6233974100376</v>
      </c>
      <c r="AB67" s="116">
        <f t="shared" si="22"/>
        <v>1824.395865358238</v>
      </c>
      <c r="AC67" s="116">
        <f t="shared" si="22"/>
        <v>1860.8837826654026</v>
      </c>
      <c r="AD67" s="116">
        <f t="shared" si="22"/>
        <v>1898.1014583187111</v>
      </c>
      <c r="AE67" s="116">
        <f t="shared" si="22"/>
        <v>1936.0634874850853</v>
      </c>
      <c r="AF67" s="116">
        <f t="shared" si="22"/>
        <v>1974.7847572347869</v>
      </c>
      <c r="AG67" s="116">
        <f t="shared" si="22"/>
        <v>2211.758928102962</v>
      </c>
      <c r="AH67" s="116">
        <f t="shared" si="22"/>
        <v>2255.9941066650213</v>
      </c>
      <c r="AI67" s="116">
        <f t="shared" si="22"/>
        <v>2301.1139887983213</v>
      </c>
      <c r="AJ67" s="116">
        <f t="shared" si="22"/>
        <v>2347.136268574288</v>
      </c>
      <c r="AK67" s="116">
        <f t="shared" si="22"/>
        <v>2394.078993945774</v>
      </c>
      <c r="AL67" s="116">
        <f t="shared" si="22"/>
        <v>2441.960573824689</v>
      </c>
      <c r="AM67" s="116">
        <f t="shared" si="22"/>
        <v>2490.799785301183</v>
      </c>
      <c r="AN67" s="116">
        <f t="shared" si="22"/>
        <v>2540.615781007207</v>
      </c>
      <c r="AO67" s="116">
        <f t="shared" si="22"/>
        <v>2591.428096627351</v>
      </c>
      <c r="AP67" s="116">
        <f t="shared" si="22"/>
        <v>2643.256658559898</v>
      </c>
      <c r="AQ67" s="116">
        <f t="shared" si="22"/>
        <v>2696.1217917310955</v>
      </c>
      <c r="AR67" s="116">
        <f t="shared" si="22"/>
        <v>2750.0442275657174</v>
      </c>
      <c r="AS67" s="116">
        <f t="shared" si="22"/>
        <v>832.2759190969863</v>
      </c>
      <c r="AT67" s="116">
        <f t="shared" si="22"/>
        <v>848.921437478926</v>
      </c>
      <c r="AU67" s="116">
        <f t="shared" si="22"/>
        <v>865.8998662285046</v>
      </c>
      <c r="AV67" s="116">
        <f t="shared" si="22"/>
        <v>883.2178635530747</v>
      </c>
      <c r="AW67" s="116">
        <f t="shared" si="22"/>
        <v>900.8822208241363</v>
      </c>
      <c r="AX67" s="116">
        <f t="shared" si="22"/>
        <v>918.8998652406191</v>
      </c>
      <c r="AY67" s="116">
        <f t="shared" si="22"/>
        <v>937.2778625454314</v>
      </c>
      <c r="AZ67" s="116">
        <f t="shared" si="22"/>
        <v>956.02341979634</v>
      </c>
      <c r="BA67" s="116">
        <f>BA33+BA20</f>
        <v>975.1438881922669</v>
      </c>
    </row>
    <row r="68" spans="2:53" ht="15">
      <c r="B68" s="172" t="s">
        <v>186</v>
      </c>
      <c r="C68" s="116">
        <f>IF((C66-C67)&lt;0,0,(C66-C67))</f>
        <v>0</v>
      </c>
      <c r="D68" s="116">
        <f aca="true" t="shared" si="23" ref="D68:BA68">IF((D66-D67)&lt;0,0,(D66-D67))</f>
        <v>0</v>
      </c>
      <c r="E68" s="116">
        <f t="shared" si="23"/>
        <v>0</v>
      </c>
      <c r="F68" s="116">
        <f t="shared" si="23"/>
        <v>0</v>
      </c>
      <c r="G68" s="116">
        <f t="shared" si="23"/>
        <v>0</v>
      </c>
      <c r="H68" s="116">
        <f t="shared" si="23"/>
        <v>0</v>
      </c>
      <c r="I68" s="116">
        <f t="shared" si="23"/>
        <v>0</v>
      </c>
      <c r="J68" s="116">
        <f t="shared" si="23"/>
        <v>0</v>
      </c>
      <c r="K68" s="116">
        <f t="shared" si="23"/>
        <v>0</v>
      </c>
      <c r="L68" s="116">
        <f t="shared" si="23"/>
        <v>0</v>
      </c>
      <c r="M68" s="116">
        <f t="shared" si="23"/>
        <v>52.39738521905201</v>
      </c>
      <c r="N68" s="116">
        <f t="shared" si="23"/>
        <v>53.445332923433625</v>
      </c>
      <c r="O68" s="116">
        <f t="shared" si="23"/>
        <v>54.5142395819023</v>
      </c>
      <c r="P68" s="116">
        <f t="shared" si="23"/>
        <v>55.60452437354047</v>
      </c>
      <c r="Q68" s="116">
        <f t="shared" si="23"/>
        <v>56.71661486101107</v>
      </c>
      <c r="R68" s="116">
        <f t="shared" si="23"/>
        <v>57.85094715823152</v>
      </c>
      <c r="S68" s="116">
        <f t="shared" si="23"/>
        <v>59.007966101395596</v>
      </c>
      <c r="T68" s="116">
        <f t="shared" si="23"/>
        <v>60.18812542342357</v>
      </c>
      <c r="U68" s="116">
        <f t="shared" si="23"/>
        <v>61.39188793189169</v>
      </c>
      <c r="V68" s="116">
        <f t="shared" si="23"/>
        <v>62.619725690530004</v>
      </c>
      <c r="W68" s="116">
        <f t="shared" si="23"/>
        <v>63.872120204340035</v>
      </c>
      <c r="X68" s="116">
        <f t="shared" si="23"/>
        <v>65.149562608427</v>
      </c>
      <c r="Y68" s="116">
        <f t="shared" si="23"/>
        <v>66.45255386059534</v>
      </c>
      <c r="Z68" s="116">
        <f t="shared" si="23"/>
        <v>67.7816049378066</v>
      </c>
      <c r="AA68" s="116">
        <f t="shared" si="23"/>
        <v>69.13723703656251</v>
      </c>
      <c r="AB68" s="116">
        <f t="shared" si="23"/>
        <v>70.51998177729388</v>
      </c>
      <c r="AC68" s="116">
        <f t="shared" si="23"/>
        <v>71.93038141284</v>
      </c>
      <c r="AD68" s="116">
        <f t="shared" si="23"/>
        <v>73.36898904109648</v>
      </c>
      <c r="AE68" s="116">
        <f t="shared" si="23"/>
        <v>74.83636882191854</v>
      </c>
      <c r="AF68" s="116">
        <f t="shared" si="23"/>
        <v>76.333096198357</v>
      </c>
      <c r="AG68" s="116">
        <f t="shared" si="23"/>
        <v>320.66374046652027</v>
      </c>
      <c r="AH68" s="116">
        <f t="shared" si="23"/>
        <v>327.0770152758496</v>
      </c>
      <c r="AI68" s="116">
        <f t="shared" si="23"/>
        <v>333.6185555813677</v>
      </c>
      <c r="AJ68" s="116">
        <f t="shared" si="23"/>
        <v>340.2909266929946</v>
      </c>
      <c r="AK68" s="116">
        <f t="shared" si="23"/>
        <v>347.09674522685464</v>
      </c>
      <c r="AL68" s="116">
        <f t="shared" si="23"/>
        <v>354.0386801313921</v>
      </c>
      <c r="AM68" s="116">
        <f t="shared" si="23"/>
        <v>361.1194537340193</v>
      </c>
      <c r="AN68" s="116">
        <f t="shared" si="23"/>
        <v>368.3418428086993</v>
      </c>
      <c r="AO68" s="116">
        <f t="shared" si="23"/>
        <v>375.70867966487276</v>
      </c>
      <c r="AP68" s="116">
        <f t="shared" si="23"/>
        <v>383.2228532581703</v>
      </c>
      <c r="AQ68" s="116">
        <f t="shared" si="23"/>
        <v>390.8873103233336</v>
      </c>
      <c r="AR68" s="116">
        <f t="shared" si="23"/>
        <v>398.7050565298</v>
      </c>
      <c r="AS68" s="116">
        <f t="shared" si="23"/>
        <v>0</v>
      </c>
      <c r="AT68" s="116">
        <f t="shared" si="23"/>
        <v>0</v>
      </c>
      <c r="AU68" s="116">
        <f t="shared" si="23"/>
        <v>0</v>
      </c>
      <c r="AV68" s="116">
        <f t="shared" si="23"/>
        <v>0</v>
      </c>
      <c r="AW68" s="116">
        <f t="shared" si="23"/>
        <v>0</v>
      </c>
      <c r="AX68" s="116">
        <f t="shared" si="23"/>
        <v>0</v>
      </c>
      <c r="AY68" s="116">
        <f t="shared" si="23"/>
        <v>0</v>
      </c>
      <c r="AZ68" s="116">
        <f t="shared" si="23"/>
        <v>0</v>
      </c>
      <c r="BA68" s="116">
        <f t="shared" si="23"/>
        <v>0</v>
      </c>
    </row>
    <row r="71" ht="15">
      <c r="B71" s="113" t="s">
        <v>284</v>
      </c>
    </row>
    <row r="73" spans="2:4" ht="15">
      <c r="B73" s="143" t="s">
        <v>282</v>
      </c>
      <c r="C73" s="143" t="s">
        <v>196</v>
      </c>
      <c r="D73" s="143" t="s">
        <v>197</v>
      </c>
    </row>
    <row r="74" spans="2:4" ht="15">
      <c r="B74" s="114" t="s">
        <v>170</v>
      </c>
      <c r="C74" s="122">
        <v>0.196</v>
      </c>
      <c r="D74" s="117">
        <f>1-SUM(D75:D77)</f>
        <v>0.65</v>
      </c>
    </row>
    <row r="75" spans="2:4" ht="15">
      <c r="B75" s="114" t="s">
        <v>171</v>
      </c>
      <c r="C75" s="122">
        <v>0.07</v>
      </c>
      <c r="D75" s="117">
        <v>0.15</v>
      </c>
    </row>
    <row r="76" spans="2:4" ht="15">
      <c r="B76" s="114" t="s">
        <v>172</v>
      </c>
      <c r="C76" s="122">
        <v>0.055</v>
      </c>
      <c r="D76" s="117">
        <v>0.15</v>
      </c>
    </row>
    <row r="77" spans="2:4" ht="15">
      <c r="B77" s="114" t="s">
        <v>173</v>
      </c>
      <c r="C77" s="122">
        <v>0.021</v>
      </c>
      <c r="D77" s="117">
        <v>0.05</v>
      </c>
    </row>
    <row r="79" spans="2:3" ht="15">
      <c r="B79" s="114" t="s">
        <v>198</v>
      </c>
      <c r="C79" s="120">
        <f>SUMPRODUCT(C74:C77,D74:D77)</f>
        <v>0.14720000000000003</v>
      </c>
    </row>
    <row r="82" ht="15">
      <c r="B82" s="113" t="s">
        <v>285</v>
      </c>
    </row>
    <row r="84" spans="2:4" ht="15">
      <c r="B84" s="143" t="s">
        <v>311</v>
      </c>
      <c r="C84" s="143" t="s">
        <v>216</v>
      </c>
      <c r="D84" s="143" t="s">
        <v>217</v>
      </c>
    </row>
    <row r="85" spans="2:4" ht="15">
      <c r="B85" s="114" t="s">
        <v>212</v>
      </c>
      <c r="C85" s="114">
        <f>SUM(C86:C88)</f>
        <v>42650</v>
      </c>
      <c r="D85" s="174">
        <f>SUMPRODUCT(C86:C88,D86:D88)/C85</f>
        <v>0.013402696365767878</v>
      </c>
    </row>
    <row r="86" spans="2:4" ht="15">
      <c r="B86" s="114" t="s">
        <v>213</v>
      </c>
      <c r="C86" s="114">
        <v>22950</v>
      </c>
      <c r="D86" s="122">
        <v>0.0125</v>
      </c>
    </row>
    <row r="87" spans="2:4" ht="15">
      <c r="B87" s="114" t="s">
        <v>214</v>
      </c>
      <c r="C87" s="114">
        <v>12000</v>
      </c>
      <c r="D87" s="122">
        <v>0.0125</v>
      </c>
    </row>
    <row r="88" spans="2:4" ht="15">
      <c r="B88" s="114" t="s">
        <v>215</v>
      </c>
      <c r="C88" s="114">
        <v>7700</v>
      </c>
      <c r="D88" s="122">
        <v>0.0175</v>
      </c>
    </row>
    <row r="90" spans="2:3" ht="15">
      <c r="B90" s="143" t="s">
        <v>312</v>
      </c>
      <c r="C90" s="143" t="s">
        <v>196</v>
      </c>
    </row>
    <row r="91" spans="2:3" ht="15">
      <c r="B91" s="114" t="s">
        <v>192</v>
      </c>
      <c r="C91" s="122">
        <v>0.005</v>
      </c>
    </row>
    <row r="92" spans="2:3" ht="15">
      <c r="B92" s="114" t="s">
        <v>191</v>
      </c>
      <c r="C92" s="122">
        <v>0.082</v>
      </c>
    </row>
    <row r="93" spans="2:3" ht="15">
      <c r="B93" s="114" t="s">
        <v>227</v>
      </c>
      <c r="C93" s="122">
        <f>5.4%+1.4%</f>
        <v>0.068</v>
      </c>
    </row>
    <row r="96" ht="15">
      <c r="B96" s="113" t="s">
        <v>310</v>
      </c>
    </row>
    <row r="98" ht="15">
      <c r="B98" s="113" t="s">
        <v>308</v>
      </c>
    </row>
    <row r="100" spans="2:53" ht="15">
      <c r="B100" s="172" t="s">
        <v>170</v>
      </c>
      <c r="C100" s="115">
        <v>8072</v>
      </c>
      <c r="D100" s="115">
        <f>C100*(1+D$47)</f>
        <v>8233.44</v>
      </c>
      <c r="E100" s="115">
        <f aca="true" t="shared" si="24" ref="E100:BA100">D100*(1+E$47)</f>
        <v>8398.1088</v>
      </c>
      <c r="F100" s="115">
        <f t="shared" si="24"/>
        <v>8566.070976</v>
      </c>
      <c r="G100" s="115">
        <f t="shared" si="24"/>
        <v>8737.39239552</v>
      </c>
      <c r="H100" s="115">
        <f t="shared" si="24"/>
        <v>8912.1402434304</v>
      </c>
      <c r="I100" s="115">
        <f t="shared" si="24"/>
        <v>9090.383048299009</v>
      </c>
      <c r="J100" s="115">
        <f t="shared" si="24"/>
        <v>9272.190709264989</v>
      </c>
      <c r="K100" s="115">
        <f t="shared" si="24"/>
        <v>9457.63452345029</v>
      </c>
      <c r="L100" s="115">
        <f t="shared" si="24"/>
        <v>9646.787213919295</v>
      </c>
      <c r="M100" s="115">
        <f t="shared" si="24"/>
        <v>9839.72295819768</v>
      </c>
      <c r="N100" s="115">
        <f t="shared" si="24"/>
        <v>10036.517417361634</v>
      </c>
      <c r="O100" s="115">
        <f t="shared" si="24"/>
        <v>10237.247765708868</v>
      </c>
      <c r="P100" s="115">
        <f t="shared" si="24"/>
        <v>10441.992721023045</v>
      </c>
      <c r="Q100" s="115">
        <f t="shared" si="24"/>
        <v>10650.832575443506</v>
      </c>
      <c r="R100" s="115">
        <f t="shared" si="24"/>
        <v>10863.849226952376</v>
      </c>
      <c r="S100" s="115">
        <f t="shared" si="24"/>
        <v>11081.126211491424</v>
      </c>
      <c r="T100" s="115">
        <f t="shared" si="24"/>
        <v>11302.748735721252</v>
      </c>
      <c r="U100" s="115">
        <f t="shared" si="24"/>
        <v>11528.803710435677</v>
      </c>
      <c r="V100" s="115">
        <f t="shared" si="24"/>
        <v>11759.37978464439</v>
      </c>
      <c r="W100" s="115">
        <f t="shared" si="24"/>
        <v>11994.56738033728</v>
      </c>
      <c r="X100" s="115">
        <f t="shared" si="24"/>
        <v>12234.458727944026</v>
      </c>
      <c r="Y100" s="115">
        <f t="shared" si="24"/>
        <v>12479.147902502906</v>
      </c>
      <c r="Z100" s="115">
        <f t="shared" si="24"/>
        <v>12728.730860552963</v>
      </c>
      <c r="AA100" s="115">
        <f t="shared" si="24"/>
        <v>12983.305477764023</v>
      </c>
      <c r="AB100" s="115">
        <f t="shared" si="24"/>
        <v>13242.971587319304</v>
      </c>
      <c r="AC100" s="115">
        <f t="shared" si="24"/>
        <v>13507.83101906569</v>
      </c>
      <c r="AD100" s="115">
        <f t="shared" si="24"/>
        <v>13777.987639447005</v>
      </c>
      <c r="AE100" s="115">
        <f t="shared" si="24"/>
        <v>14053.547392235945</v>
      </c>
      <c r="AF100" s="115">
        <f t="shared" si="24"/>
        <v>14334.618340080664</v>
      </c>
      <c r="AG100" s="115">
        <f t="shared" si="24"/>
        <v>14621.310706882277</v>
      </c>
      <c r="AH100" s="115">
        <f t="shared" si="24"/>
        <v>14913.736921019923</v>
      </c>
      <c r="AI100" s="115">
        <f t="shared" si="24"/>
        <v>15212.011659440323</v>
      </c>
      <c r="AJ100" s="115">
        <f t="shared" si="24"/>
        <v>15516.251892629129</v>
      </c>
      <c r="AK100" s="115">
        <f t="shared" si="24"/>
        <v>15826.576930481711</v>
      </c>
      <c r="AL100" s="115">
        <f t="shared" si="24"/>
        <v>16143.108469091347</v>
      </c>
      <c r="AM100" s="115">
        <f t="shared" si="24"/>
        <v>16465.970638473173</v>
      </c>
      <c r="AN100" s="115">
        <f t="shared" si="24"/>
        <v>16795.290051242635</v>
      </c>
      <c r="AO100" s="115">
        <f t="shared" si="24"/>
        <v>17131.195852267487</v>
      </c>
      <c r="AP100" s="115">
        <f t="shared" si="24"/>
        <v>17473.81976931284</v>
      </c>
      <c r="AQ100" s="115">
        <f t="shared" si="24"/>
        <v>17823.296164699095</v>
      </c>
      <c r="AR100" s="115">
        <f t="shared" si="24"/>
        <v>18179.762087993076</v>
      </c>
      <c r="AS100" s="115">
        <f t="shared" si="24"/>
        <v>18543.357329752936</v>
      </c>
      <c r="AT100" s="115">
        <f t="shared" si="24"/>
        <v>18914.224476347994</v>
      </c>
      <c r="AU100" s="115">
        <f t="shared" si="24"/>
        <v>19292.508965874953</v>
      </c>
      <c r="AV100" s="115">
        <f t="shared" si="24"/>
        <v>19678.35914519245</v>
      </c>
      <c r="AW100" s="115">
        <f t="shared" si="24"/>
        <v>20071.926328096302</v>
      </c>
      <c r="AX100" s="115">
        <f t="shared" si="24"/>
        <v>20473.36485465823</v>
      </c>
      <c r="AY100" s="115">
        <f t="shared" si="24"/>
        <v>20882.832151751394</v>
      </c>
      <c r="AZ100" s="115">
        <f t="shared" si="24"/>
        <v>21300.488794786423</v>
      </c>
      <c r="BA100" s="115">
        <f t="shared" si="24"/>
        <v>21726.49857068215</v>
      </c>
    </row>
    <row r="101" spans="2:53" ht="15">
      <c r="B101" s="172" t="s">
        <v>171</v>
      </c>
      <c r="C101" s="115">
        <v>12109</v>
      </c>
      <c r="D101" s="115">
        <f aca="true" t="shared" si="25" ref="D101:BA101">C101*(1+D$47)</f>
        <v>12351.18</v>
      </c>
      <c r="E101" s="115">
        <f t="shared" si="25"/>
        <v>12598.2036</v>
      </c>
      <c r="F101" s="115">
        <f t="shared" si="25"/>
        <v>12850.167672000001</v>
      </c>
      <c r="G101" s="115">
        <f t="shared" si="25"/>
        <v>13107.171025440002</v>
      </c>
      <c r="H101" s="115">
        <f t="shared" si="25"/>
        <v>13369.314445948803</v>
      </c>
      <c r="I101" s="115">
        <f t="shared" si="25"/>
        <v>13636.70073486778</v>
      </c>
      <c r="J101" s="115">
        <f t="shared" si="25"/>
        <v>13909.434749565136</v>
      </c>
      <c r="K101" s="115">
        <f t="shared" si="25"/>
        <v>14187.623444556439</v>
      </c>
      <c r="L101" s="115">
        <f t="shared" si="25"/>
        <v>14471.375913447568</v>
      </c>
      <c r="M101" s="115">
        <f t="shared" si="25"/>
        <v>14760.803431716518</v>
      </c>
      <c r="N101" s="115">
        <f t="shared" si="25"/>
        <v>15056.019500350849</v>
      </c>
      <c r="O101" s="115">
        <f t="shared" si="25"/>
        <v>15357.139890357867</v>
      </c>
      <c r="P101" s="115">
        <f t="shared" si="25"/>
        <v>15664.282688165024</v>
      </c>
      <c r="Q101" s="115">
        <f t="shared" si="25"/>
        <v>15977.568341928325</v>
      </c>
      <c r="R101" s="115">
        <f t="shared" si="25"/>
        <v>16297.119708766892</v>
      </c>
      <c r="S101" s="115">
        <f t="shared" si="25"/>
        <v>16623.06210294223</v>
      </c>
      <c r="T101" s="115">
        <f t="shared" si="25"/>
        <v>16955.523345001075</v>
      </c>
      <c r="U101" s="115">
        <f t="shared" si="25"/>
        <v>17294.633811901098</v>
      </c>
      <c r="V101" s="115">
        <f t="shared" si="25"/>
        <v>17640.52648813912</v>
      </c>
      <c r="W101" s="115">
        <f t="shared" si="25"/>
        <v>17993.337017901904</v>
      </c>
      <c r="X101" s="115">
        <f t="shared" si="25"/>
        <v>18353.20375825994</v>
      </c>
      <c r="Y101" s="115">
        <f t="shared" si="25"/>
        <v>18720.26783342514</v>
      </c>
      <c r="Z101" s="115">
        <f t="shared" si="25"/>
        <v>19094.673190093643</v>
      </c>
      <c r="AA101" s="115">
        <f t="shared" si="25"/>
        <v>19476.566653895516</v>
      </c>
      <c r="AB101" s="115">
        <f t="shared" si="25"/>
        <v>19866.097986973426</v>
      </c>
      <c r="AC101" s="115">
        <f t="shared" si="25"/>
        <v>20263.419946712893</v>
      </c>
      <c r="AD101" s="115">
        <f t="shared" si="25"/>
        <v>20668.68834564715</v>
      </c>
      <c r="AE101" s="115">
        <f t="shared" si="25"/>
        <v>21082.062112560096</v>
      </c>
      <c r="AF101" s="115">
        <f t="shared" si="25"/>
        <v>21503.7033548113</v>
      </c>
      <c r="AG101" s="115">
        <f t="shared" si="25"/>
        <v>21933.777421907525</v>
      </c>
      <c r="AH101" s="115">
        <f t="shared" si="25"/>
        <v>22372.452970345676</v>
      </c>
      <c r="AI101" s="115">
        <f t="shared" si="25"/>
        <v>22819.90202975259</v>
      </c>
      <c r="AJ101" s="115">
        <f t="shared" si="25"/>
        <v>23276.300070347643</v>
      </c>
      <c r="AK101" s="115">
        <f t="shared" si="25"/>
        <v>23741.826071754596</v>
      </c>
      <c r="AL101" s="115">
        <f t="shared" si="25"/>
        <v>24216.66259318969</v>
      </c>
      <c r="AM101" s="115">
        <f t="shared" si="25"/>
        <v>24700.995845053483</v>
      </c>
      <c r="AN101" s="115">
        <f t="shared" si="25"/>
        <v>25195.015761954553</v>
      </c>
      <c r="AO101" s="115">
        <f t="shared" si="25"/>
        <v>25698.916077193644</v>
      </c>
      <c r="AP101" s="115">
        <f t="shared" si="25"/>
        <v>26212.894398737517</v>
      </c>
      <c r="AQ101" s="115">
        <f t="shared" si="25"/>
        <v>26737.15228671227</v>
      </c>
      <c r="AR101" s="115">
        <f t="shared" si="25"/>
        <v>27271.895332446515</v>
      </c>
      <c r="AS101" s="115">
        <f t="shared" si="25"/>
        <v>27817.333239095446</v>
      </c>
      <c r="AT101" s="115">
        <f t="shared" si="25"/>
        <v>28373.679903877353</v>
      </c>
      <c r="AU101" s="115">
        <f t="shared" si="25"/>
        <v>28941.1535019549</v>
      </c>
      <c r="AV101" s="115">
        <f t="shared" si="25"/>
        <v>29519.976571994</v>
      </c>
      <c r="AW101" s="115">
        <f t="shared" si="25"/>
        <v>30110.376103433882</v>
      </c>
      <c r="AX101" s="115">
        <f t="shared" si="25"/>
        <v>30712.58362550256</v>
      </c>
      <c r="AY101" s="115">
        <f t="shared" si="25"/>
        <v>31326.83529801261</v>
      </c>
      <c r="AZ101" s="115">
        <f t="shared" si="25"/>
        <v>31953.372003972865</v>
      </c>
      <c r="BA101" s="115">
        <f t="shared" si="25"/>
        <v>32592.439444052325</v>
      </c>
    </row>
    <row r="102" spans="2:53" ht="15">
      <c r="B102" s="172" t="s">
        <v>172</v>
      </c>
      <c r="C102" s="115">
        <v>15932</v>
      </c>
      <c r="D102" s="115">
        <f aca="true" t="shared" si="26" ref="D102:BA102">C102*(1+D$47)</f>
        <v>16250.64</v>
      </c>
      <c r="E102" s="115">
        <f t="shared" si="26"/>
        <v>16575.6528</v>
      </c>
      <c r="F102" s="115">
        <f t="shared" si="26"/>
        <v>16907.165856</v>
      </c>
      <c r="G102" s="115">
        <f t="shared" si="26"/>
        <v>17245.30917312</v>
      </c>
      <c r="H102" s="115">
        <f t="shared" si="26"/>
        <v>17590.2153565824</v>
      </c>
      <c r="I102" s="115">
        <f t="shared" si="26"/>
        <v>17942.01966371405</v>
      </c>
      <c r="J102" s="115">
        <f t="shared" si="26"/>
        <v>18300.86005698833</v>
      </c>
      <c r="K102" s="115">
        <f t="shared" si="26"/>
        <v>18666.877258128097</v>
      </c>
      <c r="L102" s="115">
        <f t="shared" si="26"/>
        <v>19040.21480329066</v>
      </c>
      <c r="M102" s="115">
        <f t="shared" si="26"/>
        <v>19421.019099356472</v>
      </c>
      <c r="N102" s="115">
        <f t="shared" si="26"/>
        <v>19809.4394813436</v>
      </c>
      <c r="O102" s="115">
        <f t="shared" si="26"/>
        <v>20205.628270970472</v>
      </c>
      <c r="P102" s="115">
        <f t="shared" si="26"/>
        <v>20609.740836389883</v>
      </c>
      <c r="Q102" s="115">
        <f t="shared" si="26"/>
        <v>21021.93565311768</v>
      </c>
      <c r="R102" s="115">
        <f t="shared" si="26"/>
        <v>21442.374366180036</v>
      </c>
      <c r="S102" s="115">
        <f t="shared" si="26"/>
        <v>21871.221853503637</v>
      </c>
      <c r="T102" s="115">
        <f t="shared" si="26"/>
        <v>22308.64629057371</v>
      </c>
      <c r="U102" s="115">
        <f t="shared" si="26"/>
        <v>22754.819216385185</v>
      </c>
      <c r="V102" s="115">
        <f t="shared" si="26"/>
        <v>23209.91560071289</v>
      </c>
      <c r="W102" s="115">
        <f t="shared" si="26"/>
        <v>23674.11391272715</v>
      </c>
      <c r="X102" s="115">
        <f t="shared" si="26"/>
        <v>24147.59619098169</v>
      </c>
      <c r="Y102" s="115">
        <f t="shared" si="26"/>
        <v>24630.548114801324</v>
      </c>
      <c r="Z102" s="115">
        <f t="shared" si="26"/>
        <v>25123.159077097353</v>
      </c>
      <c r="AA102" s="115">
        <f t="shared" si="26"/>
        <v>25625.6222586393</v>
      </c>
      <c r="AB102" s="115">
        <f t="shared" si="26"/>
        <v>26138.134703812088</v>
      </c>
      <c r="AC102" s="115">
        <f t="shared" si="26"/>
        <v>26660.89739788833</v>
      </c>
      <c r="AD102" s="115">
        <f t="shared" si="26"/>
        <v>27194.115345846098</v>
      </c>
      <c r="AE102" s="115">
        <f t="shared" si="26"/>
        <v>27737.99765276302</v>
      </c>
      <c r="AF102" s="115">
        <f t="shared" si="26"/>
        <v>28292.757605818282</v>
      </c>
      <c r="AG102" s="115">
        <f t="shared" si="26"/>
        <v>28858.612757934647</v>
      </c>
      <c r="AH102" s="115">
        <f t="shared" si="26"/>
        <v>29435.78501309334</v>
      </c>
      <c r="AI102" s="115">
        <f t="shared" si="26"/>
        <v>30024.500713355206</v>
      </c>
      <c r="AJ102" s="115">
        <f t="shared" si="26"/>
        <v>30624.99072762231</v>
      </c>
      <c r="AK102" s="115">
        <f t="shared" si="26"/>
        <v>31237.490542174757</v>
      </c>
      <c r="AL102" s="115">
        <f t="shared" si="26"/>
        <v>31862.240353018253</v>
      </c>
      <c r="AM102" s="115">
        <f t="shared" si="26"/>
        <v>32499.485160078617</v>
      </c>
      <c r="AN102" s="115">
        <f t="shared" si="26"/>
        <v>33149.47486328019</v>
      </c>
      <c r="AO102" s="115">
        <f t="shared" si="26"/>
        <v>33812.4643605458</v>
      </c>
      <c r="AP102" s="115">
        <f t="shared" si="26"/>
        <v>34488.71364775671</v>
      </c>
      <c r="AQ102" s="115">
        <f t="shared" si="26"/>
        <v>35178.48792071184</v>
      </c>
      <c r="AR102" s="115">
        <f t="shared" si="26"/>
        <v>35882.05767912608</v>
      </c>
      <c r="AS102" s="115">
        <f t="shared" si="26"/>
        <v>36599.69883270861</v>
      </c>
      <c r="AT102" s="115">
        <f t="shared" si="26"/>
        <v>37331.69280936278</v>
      </c>
      <c r="AU102" s="115">
        <f t="shared" si="26"/>
        <v>38078.326665550034</v>
      </c>
      <c r="AV102" s="115">
        <f t="shared" si="26"/>
        <v>38839.893198861035</v>
      </c>
      <c r="AW102" s="115">
        <f t="shared" si="26"/>
        <v>39616.691062838254</v>
      </c>
      <c r="AX102" s="115">
        <f t="shared" si="26"/>
        <v>40409.02488409502</v>
      </c>
      <c r="AY102" s="115">
        <f t="shared" si="26"/>
        <v>41217.20538177693</v>
      </c>
      <c r="AZ102" s="115">
        <f t="shared" si="26"/>
        <v>42041.549489412464</v>
      </c>
      <c r="BA102" s="115">
        <f t="shared" si="26"/>
        <v>42882.380479200714</v>
      </c>
    </row>
    <row r="103" spans="2:53" ht="15">
      <c r="B103" s="172" t="s">
        <v>173</v>
      </c>
      <c r="C103" s="115">
        <v>552324</v>
      </c>
      <c r="D103" s="115">
        <f aca="true" t="shared" si="27" ref="D103:BA103">C103*(1+D$47)</f>
        <v>563370.48</v>
      </c>
      <c r="E103" s="115">
        <f t="shared" si="27"/>
        <v>574637.8896</v>
      </c>
      <c r="F103" s="115">
        <f t="shared" si="27"/>
        <v>586130.647392</v>
      </c>
      <c r="G103" s="115">
        <f t="shared" si="27"/>
        <v>597853.26033984</v>
      </c>
      <c r="H103" s="115">
        <f t="shared" si="27"/>
        <v>609810.3255466368</v>
      </c>
      <c r="I103" s="115">
        <f t="shared" si="27"/>
        <v>622006.5320575696</v>
      </c>
      <c r="J103" s="115">
        <f t="shared" si="27"/>
        <v>634446.662698721</v>
      </c>
      <c r="K103" s="115">
        <f t="shared" si="27"/>
        <v>647135.5959526955</v>
      </c>
      <c r="L103" s="115">
        <f t="shared" si="27"/>
        <v>660078.3078717494</v>
      </c>
      <c r="M103" s="115">
        <f t="shared" si="27"/>
        <v>673279.8740291843</v>
      </c>
      <c r="N103" s="115">
        <f t="shared" si="27"/>
        <v>686745.471509768</v>
      </c>
      <c r="O103" s="115">
        <f t="shared" si="27"/>
        <v>700480.3809399634</v>
      </c>
      <c r="P103" s="115">
        <f t="shared" si="27"/>
        <v>714489.9885587627</v>
      </c>
      <c r="Q103" s="115">
        <f t="shared" si="27"/>
        <v>728779.788329938</v>
      </c>
      <c r="R103" s="115">
        <f t="shared" si="27"/>
        <v>743355.3840965368</v>
      </c>
      <c r="S103" s="115">
        <f t="shared" si="27"/>
        <v>758222.4917784675</v>
      </c>
      <c r="T103" s="115">
        <f t="shared" si="27"/>
        <v>773386.9416140369</v>
      </c>
      <c r="U103" s="115">
        <f t="shared" si="27"/>
        <v>788854.6804463177</v>
      </c>
      <c r="V103" s="115">
        <f t="shared" si="27"/>
        <v>804631.774055244</v>
      </c>
      <c r="W103" s="115">
        <f t="shared" si="27"/>
        <v>820724.409536349</v>
      </c>
      <c r="X103" s="115">
        <f t="shared" si="27"/>
        <v>837138.897727076</v>
      </c>
      <c r="Y103" s="115">
        <f t="shared" si="27"/>
        <v>853881.6756816175</v>
      </c>
      <c r="Z103" s="115">
        <f t="shared" si="27"/>
        <v>870959.3091952498</v>
      </c>
      <c r="AA103" s="115">
        <f t="shared" si="27"/>
        <v>888378.4953791548</v>
      </c>
      <c r="AB103" s="115">
        <f t="shared" si="27"/>
        <v>906146.0652867379</v>
      </c>
      <c r="AC103" s="115">
        <f t="shared" si="27"/>
        <v>924268.9865924726</v>
      </c>
      <c r="AD103" s="115">
        <f t="shared" si="27"/>
        <v>942754.3663243221</v>
      </c>
      <c r="AE103" s="115">
        <f t="shared" si="27"/>
        <v>961609.4536508085</v>
      </c>
      <c r="AF103" s="115">
        <f t="shared" si="27"/>
        <v>980841.6427238247</v>
      </c>
      <c r="AG103" s="115">
        <f t="shared" si="27"/>
        <v>1000458.4755783012</v>
      </c>
      <c r="AH103" s="115">
        <f t="shared" si="27"/>
        <v>1020467.6450898673</v>
      </c>
      <c r="AI103" s="115">
        <f t="shared" si="27"/>
        <v>1040876.9979916647</v>
      </c>
      <c r="AJ103" s="115">
        <f t="shared" si="27"/>
        <v>1061694.537951498</v>
      </c>
      <c r="AK103" s="115">
        <f t="shared" si="27"/>
        <v>1082928.428710528</v>
      </c>
      <c r="AL103" s="115">
        <f t="shared" si="27"/>
        <v>1104586.9972847386</v>
      </c>
      <c r="AM103" s="115">
        <f t="shared" si="27"/>
        <v>1126678.7372304334</v>
      </c>
      <c r="AN103" s="115">
        <f t="shared" si="27"/>
        <v>1149212.311975042</v>
      </c>
      <c r="AO103" s="115">
        <f t="shared" si="27"/>
        <v>1172196.558214543</v>
      </c>
      <c r="AP103" s="115">
        <f t="shared" si="27"/>
        <v>1195640.489378834</v>
      </c>
      <c r="AQ103" s="115">
        <f t="shared" si="27"/>
        <v>1219553.2991664107</v>
      </c>
      <c r="AR103" s="115">
        <f t="shared" si="27"/>
        <v>1243944.365149739</v>
      </c>
      <c r="AS103" s="115">
        <f t="shared" si="27"/>
        <v>1268823.2524527337</v>
      </c>
      <c r="AT103" s="115">
        <f t="shared" si="27"/>
        <v>1294199.7175017884</v>
      </c>
      <c r="AU103" s="115">
        <f t="shared" si="27"/>
        <v>1320083.711851824</v>
      </c>
      <c r="AV103" s="115">
        <f t="shared" si="27"/>
        <v>1346485.3860888607</v>
      </c>
      <c r="AW103" s="115">
        <f t="shared" si="27"/>
        <v>1373415.093810638</v>
      </c>
      <c r="AX103" s="115">
        <f t="shared" si="27"/>
        <v>1400883.3956868507</v>
      </c>
      <c r="AY103" s="115">
        <f t="shared" si="27"/>
        <v>1428901.0636005877</v>
      </c>
      <c r="AZ103" s="115">
        <f t="shared" si="27"/>
        <v>1457479.0848725995</v>
      </c>
      <c r="BA103" s="115">
        <f t="shared" si="27"/>
        <v>1486628.6665700516</v>
      </c>
    </row>
    <row r="104" spans="2:53" ht="15">
      <c r="B104" s="172" t="s">
        <v>174</v>
      </c>
      <c r="C104" s="115">
        <v>902398</v>
      </c>
      <c r="D104" s="115">
        <f aca="true" t="shared" si="28" ref="D104:BA105">C104*(1+D$47)</f>
        <v>920445.96</v>
      </c>
      <c r="E104" s="115">
        <f t="shared" si="28"/>
        <v>938854.8792</v>
      </c>
      <c r="F104" s="115">
        <f t="shared" si="28"/>
        <v>957631.9767839999</v>
      </c>
      <c r="G104" s="115">
        <f t="shared" si="28"/>
        <v>976784.61631968</v>
      </c>
      <c r="H104" s="115">
        <f t="shared" si="28"/>
        <v>996320.3086460736</v>
      </c>
      <c r="I104" s="115">
        <f t="shared" si="28"/>
        <v>1016246.7148189951</v>
      </c>
      <c r="J104" s="115">
        <f t="shared" si="28"/>
        <v>1036571.649115375</v>
      </c>
      <c r="K104" s="115">
        <f t="shared" si="28"/>
        <v>1057303.0820976826</v>
      </c>
      <c r="L104" s="115">
        <f t="shared" si="28"/>
        <v>1078449.1437396363</v>
      </c>
      <c r="M104" s="115">
        <f t="shared" si="28"/>
        <v>1100018.126614429</v>
      </c>
      <c r="N104" s="115">
        <f t="shared" si="28"/>
        <v>1122018.4891467176</v>
      </c>
      <c r="O104" s="115">
        <f t="shared" si="28"/>
        <v>1144458.858929652</v>
      </c>
      <c r="P104" s="115">
        <f t="shared" si="28"/>
        <v>1167348.0361082451</v>
      </c>
      <c r="Q104" s="115">
        <f t="shared" si="28"/>
        <v>1190694.99683041</v>
      </c>
      <c r="R104" s="115">
        <f t="shared" si="28"/>
        <v>1214508.8967670184</v>
      </c>
      <c r="S104" s="115">
        <f t="shared" si="28"/>
        <v>1238799.0747023588</v>
      </c>
      <c r="T104" s="115">
        <f t="shared" si="28"/>
        <v>1263575.056196406</v>
      </c>
      <c r="U104" s="115">
        <f t="shared" si="28"/>
        <v>1288846.5573203343</v>
      </c>
      <c r="V104" s="115">
        <f t="shared" si="28"/>
        <v>1314623.488466741</v>
      </c>
      <c r="W104" s="115">
        <f t="shared" si="28"/>
        <v>1340915.958236076</v>
      </c>
      <c r="X104" s="115">
        <f t="shared" si="28"/>
        <v>1367734.2774007975</v>
      </c>
      <c r="Y104" s="115">
        <f t="shared" si="28"/>
        <v>1395088.9629488133</v>
      </c>
      <c r="Z104" s="115">
        <f t="shared" si="28"/>
        <v>1422990.7422077896</v>
      </c>
      <c r="AA104" s="115">
        <f t="shared" si="28"/>
        <v>1451450.5570519455</v>
      </c>
      <c r="AB104" s="115">
        <f t="shared" si="28"/>
        <v>1480479.5681929844</v>
      </c>
      <c r="AC104" s="115">
        <f t="shared" si="28"/>
        <v>1510089.1595568443</v>
      </c>
      <c r="AD104" s="115">
        <f t="shared" si="28"/>
        <v>1540290.9427479813</v>
      </c>
      <c r="AE104" s="115">
        <f t="shared" si="28"/>
        <v>1571096.761602941</v>
      </c>
      <c r="AF104" s="115">
        <f t="shared" si="28"/>
        <v>1602518.6968349998</v>
      </c>
      <c r="AG104" s="115">
        <f t="shared" si="28"/>
        <v>1634569.0707716998</v>
      </c>
      <c r="AH104" s="115">
        <f t="shared" si="28"/>
        <v>1667260.4521871337</v>
      </c>
      <c r="AI104" s="115">
        <f t="shared" si="28"/>
        <v>1700605.6612308763</v>
      </c>
      <c r="AJ104" s="115">
        <f t="shared" si="28"/>
        <v>1734617.774455494</v>
      </c>
      <c r="AK104" s="115">
        <f t="shared" si="28"/>
        <v>1769310.129944604</v>
      </c>
      <c r="AL104" s="115">
        <f t="shared" si="28"/>
        <v>1804696.332543496</v>
      </c>
      <c r="AM104" s="115">
        <f t="shared" si="28"/>
        <v>1840790.259194366</v>
      </c>
      <c r="AN104" s="115">
        <f t="shared" si="28"/>
        <v>1877606.0643782532</v>
      </c>
      <c r="AO104" s="115">
        <f t="shared" si="28"/>
        <v>1915158.1856658184</v>
      </c>
      <c r="AP104" s="115">
        <f t="shared" si="28"/>
        <v>1953461.3493791348</v>
      </c>
      <c r="AQ104" s="115">
        <f t="shared" si="28"/>
        <v>1992530.5763667175</v>
      </c>
      <c r="AR104" s="115">
        <f t="shared" si="28"/>
        <v>2032381.187894052</v>
      </c>
      <c r="AS104" s="115">
        <f t="shared" si="28"/>
        <v>2073028.811651933</v>
      </c>
      <c r="AT104" s="115">
        <f t="shared" si="28"/>
        <v>2114489.3878849717</v>
      </c>
      <c r="AU104" s="115">
        <f t="shared" si="28"/>
        <v>2156779.175642671</v>
      </c>
      <c r="AV104" s="115">
        <f t="shared" si="28"/>
        <v>2199914.7591555244</v>
      </c>
      <c r="AW104" s="115">
        <f t="shared" si="28"/>
        <v>2243913.054338635</v>
      </c>
      <c r="AX104" s="115">
        <f t="shared" si="28"/>
        <v>2288791.3154254076</v>
      </c>
      <c r="AY104" s="115">
        <f t="shared" si="28"/>
        <v>2334567.141733916</v>
      </c>
      <c r="AZ104" s="115">
        <f t="shared" si="28"/>
        <v>2381258.4845685945</v>
      </c>
      <c r="BA104" s="115">
        <f t="shared" si="28"/>
        <v>2428883.654259966</v>
      </c>
    </row>
    <row r="105" spans="2:53" ht="15">
      <c r="B105" s="172" t="s">
        <v>175</v>
      </c>
      <c r="C105" s="115">
        <v>1805677</v>
      </c>
      <c r="D105" s="115">
        <f t="shared" si="28"/>
        <v>1841790.54</v>
      </c>
      <c r="E105" s="115">
        <f t="shared" si="28"/>
        <v>1878626.3508000001</v>
      </c>
      <c r="F105" s="115">
        <f t="shared" si="28"/>
        <v>1916198.8778160003</v>
      </c>
      <c r="G105" s="115">
        <f t="shared" si="28"/>
        <v>1954522.8553723204</v>
      </c>
      <c r="H105" s="115">
        <f t="shared" si="28"/>
        <v>1993613.3124797668</v>
      </c>
      <c r="I105" s="115">
        <f t="shared" si="28"/>
        <v>2033485.5787293622</v>
      </c>
      <c r="J105" s="115">
        <f t="shared" si="28"/>
        <v>2074155.2903039495</v>
      </c>
      <c r="K105" s="115">
        <f t="shared" si="28"/>
        <v>2115638.3961100285</v>
      </c>
      <c r="L105" s="115">
        <f t="shared" si="28"/>
        <v>2157951.164032229</v>
      </c>
      <c r="M105" s="115">
        <f t="shared" si="28"/>
        <v>2201110.187312874</v>
      </c>
      <c r="N105" s="115">
        <f t="shared" si="28"/>
        <v>2245132.3910591314</v>
      </c>
      <c r="O105" s="115">
        <f t="shared" si="28"/>
        <v>2290035.038880314</v>
      </c>
      <c r="P105" s="115">
        <f t="shared" si="28"/>
        <v>2335835.7396579203</v>
      </c>
      <c r="Q105" s="115">
        <f t="shared" si="28"/>
        <v>2382552.4544510785</v>
      </c>
      <c r="R105" s="115">
        <f t="shared" si="28"/>
        <v>2430203.5035401</v>
      </c>
      <c r="S105" s="115">
        <f t="shared" si="28"/>
        <v>2478807.5736109023</v>
      </c>
      <c r="T105" s="115">
        <f t="shared" si="28"/>
        <v>2528383.72508312</v>
      </c>
      <c r="U105" s="115">
        <f t="shared" si="28"/>
        <v>2578951.399584783</v>
      </c>
      <c r="V105" s="115">
        <f t="shared" si="28"/>
        <v>2630530.4275764786</v>
      </c>
      <c r="W105" s="115">
        <f t="shared" si="28"/>
        <v>2683141.0361280083</v>
      </c>
      <c r="X105" s="115">
        <f t="shared" si="28"/>
        <v>2736803.8568505687</v>
      </c>
      <c r="Y105" s="115">
        <f t="shared" si="28"/>
        <v>2791539.9339875802</v>
      </c>
      <c r="Z105" s="115">
        <f t="shared" si="28"/>
        <v>2847370.732667332</v>
      </c>
      <c r="AA105" s="115">
        <f t="shared" si="28"/>
        <v>2904318.147320679</v>
      </c>
      <c r="AB105" s="115">
        <f t="shared" si="28"/>
        <v>2962404.5102670924</v>
      </c>
      <c r="AC105" s="115">
        <f t="shared" si="28"/>
        <v>3021652.6004724344</v>
      </c>
      <c r="AD105" s="115">
        <f t="shared" si="28"/>
        <v>3082085.6524818833</v>
      </c>
      <c r="AE105" s="115">
        <f t="shared" si="28"/>
        <v>3143727.365531521</v>
      </c>
      <c r="AF105" s="115">
        <f t="shared" si="28"/>
        <v>3206601.9128421512</v>
      </c>
      <c r="AG105" s="115">
        <f t="shared" si="28"/>
        <v>3270733.9510989944</v>
      </c>
      <c r="AH105" s="115">
        <f t="shared" si="28"/>
        <v>3336148.6301209745</v>
      </c>
      <c r="AI105" s="115">
        <f t="shared" si="28"/>
        <v>3402871.602723394</v>
      </c>
      <c r="AJ105" s="115">
        <f t="shared" si="28"/>
        <v>3470929.034777862</v>
      </c>
      <c r="AK105" s="115">
        <f t="shared" si="28"/>
        <v>3540347.6154734194</v>
      </c>
      <c r="AL105" s="115">
        <f t="shared" si="28"/>
        <v>3611154.5677828877</v>
      </c>
      <c r="AM105" s="115">
        <f t="shared" si="28"/>
        <v>3683377.6591385454</v>
      </c>
      <c r="AN105" s="115">
        <f t="shared" si="28"/>
        <v>3757045.2123213164</v>
      </c>
      <c r="AO105" s="115">
        <f t="shared" si="28"/>
        <v>3832186.1165677425</v>
      </c>
      <c r="AP105" s="115">
        <f t="shared" si="28"/>
        <v>3908829.8388990974</v>
      </c>
      <c r="AQ105" s="115">
        <f t="shared" si="28"/>
        <v>3987006.4356770795</v>
      </c>
      <c r="AR105" s="115">
        <f t="shared" si="28"/>
        <v>4066746.564390621</v>
      </c>
      <c r="AS105" s="115">
        <f t="shared" si="28"/>
        <v>4148081.4956784337</v>
      </c>
      <c r="AT105" s="115">
        <f t="shared" si="28"/>
        <v>4231043.125592003</v>
      </c>
      <c r="AU105" s="115">
        <f t="shared" si="28"/>
        <v>4315663.988103842</v>
      </c>
      <c r="AV105" s="115">
        <f t="shared" si="28"/>
        <v>4401977.2678659195</v>
      </c>
      <c r="AW105" s="115">
        <f t="shared" si="28"/>
        <v>4490016.813223238</v>
      </c>
      <c r="AX105" s="115">
        <f t="shared" si="28"/>
        <v>4579817.149487703</v>
      </c>
      <c r="AY105" s="115">
        <f t="shared" si="28"/>
        <v>4671413.492477457</v>
      </c>
      <c r="AZ105" s="115">
        <f t="shared" si="28"/>
        <v>4764841.762327006</v>
      </c>
      <c r="BA105" s="115">
        <f t="shared" si="28"/>
        <v>4860138.597573547</v>
      </c>
    </row>
    <row r="106" spans="2:53" ht="15">
      <c r="B106" s="172" t="s">
        <v>239</v>
      </c>
      <c r="C106" s="115"/>
      <c r="D106" s="115"/>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row>
    <row r="107" ht="15">
      <c r="B107" s="110"/>
    </row>
    <row r="108" spans="2:53" ht="15">
      <c r="B108" s="172" t="s">
        <v>90</v>
      </c>
      <c r="C108" s="117">
        <f>C47</f>
        <v>0.02</v>
      </c>
      <c r="D108" s="117">
        <f aca="true" t="shared" si="29" ref="D108:BA108">D47</f>
        <v>0.02</v>
      </c>
      <c r="E108" s="117">
        <f t="shared" si="29"/>
        <v>0.02</v>
      </c>
      <c r="F108" s="117">
        <f t="shared" si="29"/>
        <v>0.02</v>
      </c>
      <c r="G108" s="117">
        <f t="shared" si="29"/>
        <v>0.02</v>
      </c>
      <c r="H108" s="117">
        <f t="shared" si="29"/>
        <v>0.02</v>
      </c>
      <c r="I108" s="117">
        <f t="shared" si="29"/>
        <v>0.02</v>
      </c>
      <c r="J108" s="117">
        <f t="shared" si="29"/>
        <v>0.02</v>
      </c>
      <c r="K108" s="117">
        <f t="shared" si="29"/>
        <v>0.02</v>
      </c>
      <c r="L108" s="117">
        <f t="shared" si="29"/>
        <v>0.02</v>
      </c>
      <c r="M108" s="117">
        <f t="shared" si="29"/>
        <v>0.02</v>
      </c>
      <c r="N108" s="117">
        <f t="shared" si="29"/>
        <v>0.02</v>
      </c>
      <c r="O108" s="117">
        <f t="shared" si="29"/>
        <v>0.02</v>
      </c>
      <c r="P108" s="117">
        <f t="shared" si="29"/>
        <v>0.02</v>
      </c>
      <c r="Q108" s="117">
        <f t="shared" si="29"/>
        <v>0.02</v>
      </c>
      <c r="R108" s="117">
        <f t="shared" si="29"/>
        <v>0.02</v>
      </c>
      <c r="S108" s="117">
        <f t="shared" si="29"/>
        <v>0.02</v>
      </c>
      <c r="T108" s="117">
        <f t="shared" si="29"/>
        <v>0.02</v>
      </c>
      <c r="U108" s="117">
        <f t="shared" si="29"/>
        <v>0.02</v>
      </c>
      <c r="V108" s="117">
        <f t="shared" si="29"/>
        <v>0.02</v>
      </c>
      <c r="W108" s="117">
        <f t="shared" si="29"/>
        <v>0.02</v>
      </c>
      <c r="X108" s="117">
        <f t="shared" si="29"/>
        <v>0.02</v>
      </c>
      <c r="Y108" s="117">
        <f t="shared" si="29"/>
        <v>0.02</v>
      </c>
      <c r="Z108" s="117">
        <f t="shared" si="29"/>
        <v>0.02</v>
      </c>
      <c r="AA108" s="117">
        <f t="shared" si="29"/>
        <v>0.02</v>
      </c>
      <c r="AB108" s="117">
        <f t="shared" si="29"/>
        <v>0.02</v>
      </c>
      <c r="AC108" s="117">
        <f t="shared" si="29"/>
        <v>0.02</v>
      </c>
      <c r="AD108" s="117">
        <f t="shared" si="29"/>
        <v>0.02</v>
      </c>
      <c r="AE108" s="117">
        <f t="shared" si="29"/>
        <v>0.02</v>
      </c>
      <c r="AF108" s="117">
        <f t="shared" si="29"/>
        <v>0.02</v>
      </c>
      <c r="AG108" s="117">
        <f t="shared" si="29"/>
        <v>0.02</v>
      </c>
      <c r="AH108" s="117">
        <f t="shared" si="29"/>
        <v>0.02</v>
      </c>
      <c r="AI108" s="117">
        <f t="shared" si="29"/>
        <v>0.02</v>
      </c>
      <c r="AJ108" s="117">
        <f t="shared" si="29"/>
        <v>0.02</v>
      </c>
      <c r="AK108" s="117">
        <f t="shared" si="29"/>
        <v>0.02</v>
      </c>
      <c r="AL108" s="117">
        <f t="shared" si="29"/>
        <v>0.02</v>
      </c>
      <c r="AM108" s="117">
        <f t="shared" si="29"/>
        <v>0.02</v>
      </c>
      <c r="AN108" s="117">
        <f t="shared" si="29"/>
        <v>0.02</v>
      </c>
      <c r="AO108" s="117">
        <f t="shared" si="29"/>
        <v>0.02</v>
      </c>
      <c r="AP108" s="117">
        <f t="shared" si="29"/>
        <v>0.02</v>
      </c>
      <c r="AQ108" s="117">
        <f t="shared" si="29"/>
        <v>0.02</v>
      </c>
      <c r="AR108" s="117">
        <f t="shared" si="29"/>
        <v>0.02</v>
      </c>
      <c r="AS108" s="117">
        <f t="shared" si="29"/>
        <v>0.02</v>
      </c>
      <c r="AT108" s="117">
        <f t="shared" si="29"/>
        <v>0.02</v>
      </c>
      <c r="AU108" s="117">
        <f t="shared" si="29"/>
        <v>0.02</v>
      </c>
      <c r="AV108" s="117">
        <f t="shared" si="29"/>
        <v>0.02</v>
      </c>
      <c r="AW108" s="117">
        <f t="shared" si="29"/>
        <v>0.02</v>
      </c>
      <c r="AX108" s="117">
        <f t="shared" si="29"/>
        <v>0.02</v>
      </c>
      <c r="AY108" s="117">
        <f t="shared" si="29"/>
        <v>0.02</v>
      </c>
      <c r="AZ108" s="117">
        <f t="shared" si="29"/>
        <v>0.02</v>
      </c>
      <c r="BA108" s="117">
        <f t="shared" si="29"/>
        <v>0.02</v>
      </c>
    </row>
    <row r="110" spans="2:53" ht="15">
      <c r="B110" s="172" t="s">
        <v>170</v>
      </c>
      <c r="C110" s="121">
        <v>0.05</v>
      </c>
      <c r="D110" s="121">
        <f>C110</f>
        <v>0.05</v>
      </c>
      <c r="E110" s="121">
        <f aca="true" t="shared" si="30" ref="E110:BA115">D110</f>
        <v>0.05</v>
      </c>
      <c r="F110" s="121">
        <f t="shared" si="30"/>
        <v>0.05</v>
      </c>
      <c r="G110" s="121">
        <f t="shared" si="30"/>
        <v>0.05</v>
      </c>
      <c r="H110" s="121">
        <f t="shared" si="30"/>
        <v>0.05</v>
      </c>
      <c r="I110" s="121">
        <f t="shared" si="30"/>
        <v>0.05</v>
      </c>
      <c r="J110" s="121">
        <f t="shared" si="30"/>
        <v>0.05</v>
      </c>
      <c r="K110" s="121">
        <f t="shared" si="30"/>
        <v>0.05</v>
      </c>
      <c r="L110" s="121">
        <f t="shared" si="30"/>
        <v>0.05</v>
      </c>
      <c r="M110" s="121">
        <f t="shared" si="30"/>
        <v>0.05</v>
      </c>
      <c r="N110" s="121">
        <f t="shared" si="30"/>
        <v>0.05</v>
      </c>
      <c r="O110" s="121">
        <f t="shared" si="30"/>
        <v>0.05</v>
      </c>
      <c r="P110" s="121">
        <f t="shared" si="30"/>
        <v>0.05</v>
      </c>
      <c r="Q110" s="121">
        <f t="shared" si="30"/>
        <v>0.05</v>
      </c>
      <c r="R110" s="121">
        <f t="shared" si="30"/>
        <v>0.05</v>
      </c>
      <c r="S110" s="121">
        <f t="shared" si="30"/>
        <v>0.05</v>
      </c>
      <c r="T110" s="121">
        <f t="shared" si="30"/>
        <v>0.05</v>
      </c>
      <c r="U110" s="121">
        <f t="shared" si="30"/>
        <v>0.05</v>
      </c>
      <c r="V110" s="121">
        <f t="shared" si="30"/>
        <v>0.05</v>
      </c>
      <c r="W110" s="121">
        <f t="shared" si="30"/>
        <v>0.05</v>
      </c>
      <c r="X110" s="121">
        <f t="shared" si="30"/>
        <v>0.05</v>
      </c>
      <c r="Y110" s="121">
        <f t="shared" si="30"/>
        <v>0.05</v>
      </c>
      <c r="Z110" s="121">
        <f t="shared" si="30"/>
        <v>0.05</v>
      </c>
      <c r="AA110" s="121">
        <f t="shared" si="30"/>
        <v>0.05</v>
      </c>
      <c r="AB110" s="121">
        <f t="shared" si="30"/>
        <v>0.05</v>
      </c>
      <c r="AC110" s="121">
        <f t="shared" si="30"/>
        <v>0.05</v>
      </c>
      <c r="AD110" s="121">
        <f t="shared" si="30"/>
        <v>0.05</v>
      </c>
      <c r="AE110" s="121">
        <f t="shared" si="30"/>
        <v>0.05</v>
      </c>
      <c r="AF110" s="121">
        <f t="shared" si="30"/>
        <v>0.05</v>
      </c>
      <c r="AG110" s="121">
        <f t="shared" si="30"/>
        <v>0.05</v>
      </c>
      <c r="AH110" s="121">
        <f t="shared" si="30"/>
        <v>0.05</v>
      </c>
      <c r="AI110" s="121">
        <f t="shared" si="30"/>
        <v>0.05</v>
      </c>
      <c r="AJ110" s="121">
        <f t="shared" si="30"/>
        <v>0.05</v>
      </c>
      <c r="AK110" s="121">
        <f t="shared" si="30"/>
        <v>0.05</v>
      </c>
      <c r="AL110" s="121">
        <f t="shared" si="30"/>
        <v>0.05</v>
      </c>
      <c r="AM110" s="121">
        <f t="shared" si="30"/>
        <v>0.05</v>
      </c>
      <c r="AN110" s="121">
        <f t="shared" si="30"/>
        <v>0.05</v>
      </c>
      <c r="AO110" s="121">
        <f t="shared" si="30"/>
        <v>0.05</v>
      </c>
      <c r="AP110" s="121">
        <f t="shared" si="30"/>
        <v>0.05</v>
      </c>
      <c r="AQ110" s="121">
        <f t="shared" si="30"/>
        <v>0.05</v>
      </c>
      <c r="AR110" s="121">
        <f t="shared" si="30"/>
        <v>0.05</v>
      </c>
      <c r="AS110" s="121">
        <f t="shared" si="30"/>
        <v>0.05</v>
      </c>
      <c r="AT110" s="121">
        <f t="shared" si="30"/>
        <v>0.05</v>
      </c>
      <c r="AU110" s="121">
        <f t="shared" si="30"/>
        <v>0.05</v>
      </c>
      <c r="AV110" s="121">
        <f t="shared" si="30"/>
        <v>0.05</v>
      </c>
      <c r="AW110" s="121">
        <f t="shared" si="30"/>
        <v>0.05</v>
      </c>
      <c r="AX110" s="121">
        <f t="shared" si="30"/>
        <v>0.05</v>
      </c>
      <c r="AY110" s="121">
        <f t="shared" si="30"/>
        <v>0.05</v>
      </c>
      <c r="AZ110" s="121">
        <f t="shared" si="30"/>
        <v>0.05</v>
      </c>
      <c r="BA110" s="121">
        <f t="shared" si="30"/>
        <v>0.05</v>
      </c>
    </row>
    <row r="111" spans="2:53" ht="15">
      <c r="B111" s="172" t="s">
        <v>171</v>
      </c>
      <c r="C111" s="121">
        <v>0.1</v>
      </c>
      <c r="D111" s="121">
        <f>C111</f>
        <v>0.1</v>
      </c>
      <c r="E111" s="121">
        <f>D111</f>
        <v>0.1</v>
      </c>
      <c r="F111" s="121">
        <f>E111</f>
        <v>0.1</v>
      </c>
      <c r="G111" s="121">
        <f>F111</f>
        <v>0.1</v>
      </c>
      <c r="H111" s="121">
        <f>G111</f>
        <v>0.1</v>
      </c>
      <c r="I111" s="121">
        <f>H111</f>
        <v>0.1</v>
      </c>
      <c r="J111" s="121">
        <f>I111</f>
        <v>0.1</v>
      </c>
      <c r="K111" s="121">
        <f>J111</f>
        <v>0.1</v>
      </c>
      <c r="L111" s="121">
        <f>K111</f>
        <v>0.1</v>
      </c>
      <c r="M111" s="121">
        <f>L111</f>
        <v>0.1</v>
      </c>
      <c r="N111" s="121">
        <f>M111</f>
        <v>0.1</v>
      </c>
      <c r="O111" s="121">
        <f>N111</f>
        <v>0.1</v>
      </c>
      <c r="P111" s="121">
        <f>O111</f>
        <v>0.1</v>
      </c>
      <c r="Q111" s="121">
        <f>P111</f>
        <v>0.1</v>
      </c>
      <c r="R111" s="121">
        <f>Q111</f>
        <v>0.1</v>
      </c>
      <c r="S111" s="121">
        <f>R111</f>
        <v>0.1</v>
      </c>
      <c r="T111" s="121">
        <f t="shared" si="30"/>
        <v>0.1</v>
      </c>
      <c r="U111" s="121">
        <f t="shared" si="30"/>
        <v>0.1</v>
      </c>
      <c r="V111" s="121">
        <f t="shared" si="30"/>
        <v>0.1</v>
      </c>
      <c r="W111" s="121">
        <f t="shared" si="30"/>
        <v>0.1</v>
      </c>
      <c r="X111" s="121">
        <f t="shared" si="30"/>
        <v>0.1</v>
      </c>
      <c r="Y111" s="121">
        <f t="shared" si="30"/>
        <v>0.1</v>
      </c>
      <c r="Z111" s="121">
        <f t="shared" si="30"/>
        <v>0.1</v>
      </c>
      <c r="AA111" s="121">
        <f t="shared" si="30"/>
        <v>0.1</v>
      </c>
      <c r="AB111" s="121">
        <f t="shared" si="30"/>
        <v>0.1</v>
      </c>
      <c r="AC111" s="121">
        <f t="shared" si="30"/>
        <v>0.1</v>
      </c>
      <c r="AD111" s="121">
        <f t="shared" si="30"/>
        <v>0.1</v>
      </c>
      <c r="AE111" s="121">
        <f t="shared" si="30"/>
        <v>0.1</v>
      </c>
      <c r="AF111" s="121">
        <f t="shared" si="30"/>
        <v>0.1</v>
      </c>
      <c r="AG111" s="121">
        <f t="shared" si="30"/>
        <v>0.1</v>
      </c>
      <c r="AH111" s="121">
        <f t="shared" si="30"/>
        <v>0.1</v>
      </c>
      <c r="AI111" s="121">
        <f t="shared" si="30"/>
        <v>0.1</v>
      </c>
      <c r="AJ111" s="121">
        <f t="shared" si="30"/>
        <v>0.1</v>
      </c>
      <c r="AK111" s="121">
        <f t="shared" si="30"/>
        <v>0.1</v>
      </c>
      <c r="AL111" s="121">
        <f t="shared" si="30"/>
        <v>0.1</v>
      </c>
      <c r="AM111" s="121">
        <f t="shared" si="30"/>
        <v>0.1</v>
      </c>
      <c r="AN111" s="121">
        <f t="shared" si="30"/>
        <v>0.1</v>
      </c>
      <c r="AO111" s="121">
        <f t="shared" si="30"/>
        <v>0.1</v>
      </c>
      <c r="AP111" s="121">
        <f t="shared" si="30"/>
        <v>0.1</v>
      </c>
      <c r="AQ111" s="121">
        <f t="shared" si="30"/>
        <v>0.1</v>
      </c>
      <c r="AR111" s="121">
        <f t="shared" si="30"/>
        <v>0.1</v>
      </c>
      <c r="AS111" s="121">
        <f t="shared" si="30"/>
        <v>0.1</v>
      </c>
      <c r="AT111" s="121">
        <f t="shared" si="30"/>
        <v>0.1</v>
      </c>
      <c r="AU111" s="121">
        <f t="shared" si="30"/>
        <v>0.1</v>
      </c>
      <c r="AV111" s="121">
        <f t="shared" si="30"/>
        <v>0.1</v>
      </c>
      <c r="AW111" s="121">
        <f t="shared" si="30"/>
        <v>0.1</v>
      </c>
      <c r="AX111" s="121">
        <f t="shared" si="30"/>
        <v>0.1</v>
      </c>
      <c r="AY111" s="121">
        <f t="shared" si="30"/>
        <v>0.1</v>
      </c>
      <c r="AZ111" s="121">
        <f t="shared" si="30"/>
        <v>0.1</v>
      </c>
      <c r="BA111" s="121">
        <f t="shared" si="30"/>
        <v>0.1</v>
      </c>
    </row>
    <row r="112" spans="2:53" ht="15">
      <c r="B112" s="172" t="s">
        <v>172</v>
      </c>
      <c r="C112" s="121">
        <v>0.15</v>
      </c>
      <c r="D112" s="121">
        <f>C112</f>
        <v>0.15</v>
      </c>
      <c r="E112" s="121">
        <f t="shared" si="30"/>
        <v>0.15</v>
      </c>
      <c r="F112" s="121">
        <f t="shared" si="30"/>
        <v>0.15</v>
      </c>
      <c r="G112" s="121">
        <f t="shared" si="30"/>
        <v>0.15</v>
      </c>
      <c r="H112" s="121">
        <f t="shared" si="30"/>
        <v>0.15</v>
      </c>
      <c r="I112" s="121">
        <f t="shared" si="30"/>
        <v>0.15</v>
      </c>
      <c r="J112" s="121">
        <f t="shared" si="30"/>
        <v>0.15</v>
      </c>
      <c r="K112" s="121">
        <f t="shared" si="30"/>
        <v>0.15</v>
      </c>
      <c r="L112" s="121">
        <f t="shared" si="30"/>
        <v>0.15</v>
      </c>
      <c r="M112" s="121">
        <f t="shared" si="30"/>
        <v>0.15</v>
      </c>
      <c r="N112" s="121">
        <f t="shared" si="30"/>
        <v>0.15</v>
      </c>
      <c r="O112" s="121">
        <f t="shared" si="30"/>
        <v>0.15</v>
      </c>
      <c r="P112" s="121">
        <f t="shared" si="30"/>
        <v>0.15</v>
      </c>
      <c r="Q112" s="121">
        <f t="shared" si="30"/>
        <v>0.15</v>
      </c>
      <c r="R112" s="121">
        <f t="shared" si="30"/>
        <v>0.15</v>
      </c>
      <c r="S112" s="121">
        <f t="shared" si="30"/>
        <v>0.15</v>
      </c>
      <c r="T112" s="121">
        <f t="shared" si="30"/>
        <v>0.15</v>
      </c>
      <c r="U112" s="121">
        <f t="shared" si="30"/>
        <v>0.15</v>
      </c>
      <c r="V112" s="121">
        <f t="shared" si="30"/>
        <v>0.15</v>
      </c>
      <c r="W112" s="121">
        <f t="shared" si="30"/>
        <v>0.15</v>
      </c>
      <c r="X112" s="121">
        <f t="shared" si="30"/>
        <v>0.15</v>
      </c>
      <c r="Y112" s="121">
        <f t="shared" si="30"/>
        <v>0.15</v>
      </c>
      <c r="Z112" s="121">
        <f t="shared" si="30"/>
        <v>0.15</v>
      </c>
      <c r="AA112" s="121">
        <f t="shared" si="30"/>
        <v>0.15</v>
      </c>
      <c r="AB112" s="121">
        <f t="shared" si="30"/>
        <v>0.15</v>
      </c>
      <c r="AC112" s="121">
        <f t="shared" si="30"/>
        <v>0.15</v>
      </c>
      <c r="AD112" s="121">
        <f t="shared" si="30"/>
        <v>0.15</v>
      </c>
      <c r="AE112" s="121">
        <f t="shared" si="30"/>
        <v>0.15</v>
      </c>
      <c r="AF112" s="121">
        <f t="shared" si="30"/>
        <v>0.15</v>
      </c>
      <c r="AG112" s="121">
        <f t="shared" si="30"/>
        <v>0.15</v>
      </c>
      <c r="AH112" s="121">
        <f t="shared" si="30"/>
        <v>0.15</v>
      </c>
      <c r="AI112" s="121">
        <f t="shared" si="30"/>
        <v>0.15</v>
      </c>
      <c r="AJ112" s="121">
        <f t="shared" si="30"/>
        <v>0.15</v>
      </c>
      <c r="AK112" s="121">
        <f t="shared" si="30"/>
        <v>0.15</v>
      </c>
      <c r="AL112" s="121">
        <f t="shared" si="30"/>
        <v>0.15</v>
      </c>
      <c r="AM112" s="121">
        <f t="shared" si="30"/>
        <v>0.15</v>
      </c>
      <c r="AN112" s="121">
        <f t="shared" si="30"/>
        <v>0.15</v>
      </c>
      <c r="AO112" s="121">
        <f t="shared" si="30"/>
        <v>0.15</v>
      </c>
      <c r="AP112" s="121">
        <f t="shared" si="30"/>
        <v>0.15</v>
      </c>
      <c r="AQ112" s="121">
        <f t="shared" si="30"/>
        <v>0.15</v>
      </c>
      <c r="AR112" s="121">
        <f t="shared" si="30"/>
        <v>0.15</v>
      </c>
      <c r="AS112" s="121">
        <f t="shared" si="30"/>
        <v>0.15</v>
      </c>
      <c r="AT112" s="121">
        <f t="shared" si="30"/>
        <v>0.15</v>
      </c>
      <c r="AU112" s="121">
        <f t="shared" si="30"/>
        <v>0.15</v>
      </c>
      <c r="AV112" s="121">
        <f t="shared" si="30"/>
        <v>0.15</v>
      </c>
      <c r="AW112" s="121">
        <f t="shared" si="30"/>
        <v>0.15</v>
      </c>
      <c r="AX112" s="121">
        <f t="shared" si="30"/>
        <v>0.15</v>
      </c>
      <c r="AY112" s="121">
        <f t="shared" si="30"/>
        <v>0.15</v>
      </c>
      <c r="AZ112" s="121">
        <f t="shared" si="30"/>
        <v>0.15</v>
      </c>
      <c r="BA112" s="121">
        <f t="shared" si="30"/>
        <v>0.15</v>
      </c>
    </row>
    <row r="113" spans="2:53" ht="15">
      <c r="B113" s="172" t="s">
        <v>173</v>
      </c>
      <c r="C113" s="121">
        <v>0.2</v>
      </c>
      <c r="D113" s="121">
        <f>C113</f>
        <v>0.2</v>
      </c>
      <c r="E113" s="121">
        <f t="shared" si="30"/>
        <v>0.2</v>
      </c>
      <c r="F113" s="121">
        <f t="shared" si="30"/>
        <v>0.2</v>
      </c>
      <c r="G113" s="121">
        <f t="shared" si="30"/>
        <v>0.2</v>
      </c>
      <c r="H113" s="121">
        <f t="shared" si="30"/>
        <v>0.2</v>
      </c>
      <c r="I113" s="121">
        <f t="shared" si="30"/>
        <v>0.2</v>
      </c>
      <c r="J113" s="121">
        <f t="shared" si="30"/>
        <v>0.2</v>
      </c>
      <c r="K113" s="121">
        <f t="shared" si="30"/>
        <v>0.2</v>
      </c>
      <c r="L113" s="121">
        <f t="shared" si="30"/>
        <v>0.2</v>
      </c>
      <c r="M113" s="121">
        <f t="shared" si="30"/>
        <v>0.2</v>
      </c>
      <c r="N113" s="121">
        <f t="shared" si="30"/>
        <v>0.2</v>
      </c>
      <c r="O113" s="121">
        <f t="shared" si="30"/>
        <v>0.2</v>
      </c>
      <c r="P113" s="121">
        <f t="shared" si="30"/>
        <v>0.2</v>
      </c>
      <c r="Q113" s="121">
        <f t="shared" si="30"/>
        <v>0.2</v>
      </c>
      <c r="R113" s="121">
        <f t="shared" si="30"/>
        <v>0.2</v>
      </c>
      <c r="S113" s="121">
        <f t="shared" si="30"/>
        <v>0.2</v>
      </c>
      <c r="T113" s="121">
        <f t="shared" si="30"/>
        <v>0.2</v>
      </c>
      <c r="U113" s="121">
        <f t="shared" si="30"/>
        <v>0.2</v>
      </c>
      <c r="V113" s="121">
        <f t="shared" si="30"/>
        <v>0.2</v>
      </c>
      <c r="W113" s="121">
        <f t="shared" si="30"/>
        <v>0.2</v>
      </c>
      <c r="X113" s="121">
        <f t="shared" si="30"/>
        <v>0.2</v>
      </c>
      <c r="Y113" s="121">
        <f t="shared" si="30"/>
        <v>0.2</v>
      </c>
      <c r="Z113" s="121">
        <f t="shared" si="30"/>
        <v>0.2</v>
      </c>
      <c r="AA113" s="121">
        <f t="shared" si="30"/>
        <v>0.2</v>
      </c>
      <c r="AB113" s="121">
        <f t="shared" si="30"/>
        <v>0.2</v>
      </c>
      <c r="AC113" s="121">
        <f t="shared" si="30"/>
        <v>0.2</v>
      </c>
      <c r="AD113" s="121">
        <f t="shared" si="30"/>
        <v>0.2</v>
      </c>
      <c r="AE113" s="121">
        <f t="shared" si="30"/>
        <v>0.2</v>
      </c>
      <c r="AF113" s="121">
        <f t="shared" si="30"/>
        <v>0.2</v>
      </c>
      <c r="AG113" s="121">
        <f t="shared" si="30"/>
        <v>0.2</v>
      </c>
      <c r="AH113" s="121">
        <f t="shared" si="30"/>
        <v>0.2</v>
      </c>
      <c r="AI113" s="121">
        <f t="shared" si="30"/>
        <v>0.2</v>
      </c>
      <c r="AJ113" s="121">
        <f t="shared" si="30"/>
        <v>0.2</v>
      </c>
      <c r="AK113" s="121">
        <f t="shared" si="30"/>
        <v>0.2</v>
      </c>
      <c r="AL113" s="121">
        <f t="shared" si="30"/>
        <v>0.2</v>
      </c>
      <c r="AM113" s="121">
        <f t="shared" si="30"/>
        <v>0.2</v>
      </c>
      <c r="AN113" s="121">
        <f t="shared" si="30"/>
        <v>0.2</v>
      </c>
      <c r="AO113" s="121">
        <f t="shared" si="30"/>
        <v>0.2</v>
      </c>
      <c r="AP113" s="121">
        <f t="shared" si="30"/>
        <v>0.2</v>
      </c>
      <c r="AQ113" s="121">
        <f t="shared" si="30"/>
        <v>0.2</v>
      </c>
      <c r="AR113" s="121">
        <f t="shared" si="30"/>
        <v>0.2</v>
      </c>
      <c r="AS113" s="121">
        <f t="shared" si="30"/>
        <v>0.2</v>
      </c>
      <c r="AT113" s="121">
        <f t="shared" si="30"/>
        <v>0.2</v>
      </c>
      <c r="AU113" s="121">
        <f t="shared" si="30"/>
        <v>0.2</v>
      </c>
      <c r="AV113" s="121">
        <f t="shared" si="30"/>
        <v>0.2</v>
      </c>
      <c r="AW113" s="121">
        <f t="shared" si="30"/>
        <v>0.2</v>
      </c>
      <c r="AX113" s="121">
        <f t="shared" si="30"/>
        <v>0.2</v>
      </c>
      <c r="AY113" s="121">
        <f t="shared" si="30"/>
        <v>0.2</v>
      </c>
      <c r="AZ113" s="121">
        <f t="shared" si="30"/>
        <v>0.2</v>
      </c>
      <c r="BA113" s="121">
        <f t="shared" si="30"/>
        <v>0.2</v>
      </c>
    </row>
    <row r="114" spans="2:53" ht="15">
      <c r="B114" s="172" t="s">
        <v>174</v>
      </c>
      <c r="C114" s="121">
        <v>0.3</v>
      </c>
      <c r="D114" s="121">
        <f>C114</f>
        <v>0.3</v>
      </c>
      <c r="E114" s="121">
        <f t="shared" si="30"/>
        <v>0.3</v>
      </c>
      <c r="F114" s="121">
        <f t="shared" si="30"/>
        <v>0.3</v>
      </c>
      <c r="G114" s="121">
        <f t="shared" si="30"/>
        <v>0.3</v>
      </c>
      <c r="H114" s="121">
        <f t="shared" si="30"/>
        <v>0.3</v>
      </c>
      <c r="I114" s="121">
        <f t="shared" si="30"/>
        <v>0.3</v>
      </c>
      <c r="J114" s="121">
        <f t="shared" si="30"/>
        <v>0.3</v>
      </c>
      <c r="K114" s="121">
        <f t="shared" si="30"/>
        <v>0.3</v>
      </c>
      <c r="L114" s="121">
        <f t="shared" si="30"/>
        <v>0.3</v>
      </c>
      <c r="M114" s="121">
        <f t="shared" si="30"/>
        <v>0.3</v>
      </c>
      <c r="N114" s="121">
        <f t="shared" si="30"/>
        <v>0.3</v>
      </c>
      <c r="O114" s="121">
        <f t="shared" si="30"/>
        <v>0.3</v>
      </c>
      <c r="P114" s="121">
        <f t="shared" si="30"/>
        <v>0.3</v>
      </c>
      <c r="Q114" s="121">
        <f t="shared" si="30"/>
        <v>0.3</v>
      </c>
      <c r="R114" s="121">
        <f t="shared" si="30"/>
        <v>0.3</v>
      </c>
      <c r="S114" s="121">
        <f t="shared" si="30"/>
        <v>0.3</v>
      </c>
      <c r="T114" s="121">
        <f t="shared" si="30"/>
        <v>0.3</v>
      </c>
      <c r="U114" s="121">
        <f t="shared" si="30"/>
        <v>0.3</v>
      </c>
      <c r="V114" s="121">
        <f t="shared" si="30"/>
        <v>0.3</v>
      </c>
      <c r="W114" s="121">
        <f t="shared" si="30"/>
        <v>0.3</v>
      </c>
      <c r="X114" s="121">
        <f t="shared" si="30"/>
        <v>0.3</v>
      </c>
      <c r="Y114" s="121">
        <f t="shared" si="30"/>
        <v>0.3</v>
      </c>
      <c r="Z114" s="121">
        <f t="shared" si="30"/>
        <v>0.3</v>
      </c>
      <c r="AA114" s="121">
        <f t="shared" si="30"/>
        <v>0.3</v>
      </c>
      <c r="AB114" s="121">
        <f t="shared" si="30"/>
        <v>0.3</v>
      </c>
      <c r="AC114" s="121">
        <f t="shared" si="30"/>
        <v>0.3</v>
      </c>
      <c r="AD114" s="121">
        <f t="shared" si="30"/>
        <v>0.3</v>
      </c>
      <c r="AE114" s="121">
        <f t="shared" si="30"/>
        <v>0.3</v>
      </c>
      <c r="AF114" s="121">
        <f t="shared" si="30"/>
        <v>0.3</v>
      </c>
      <c r="AG114" s="121">
        <f t="shared" si="30"/>
        <v>0.3</v>
      </c>
      <c r="AH114" s="121">
        <f t="shared" si="30"/>
        <v>0.3</v>
      </c>
      <c r="AI114" s="121">
        <f t="shared" si="30"/>
        <v>0.3</v>
      </c>
      <c r="AJ114" s="121">
        <f t="shared" si="30"/>
        <v>0.3</v>
      </c>
      <c r="AK114" s="121">
        <f t="shared" si="30"/>
        <v>0.3</v>
      </c>
      <c r="AL114" s="121">
        <f t="shared" si="30"/>
        <v>0.3</v>
      </c>
      <c r="AM114" s="121">
        <f t="shared" si="30"/>
        <v>0.3</v>
      </c>
      <c r="AN114" s="121">
        <f t="shared" si="30"/>
        <v>0.3</v>
      </c>
      <c r="AO114" s="121">
        <f t="shared" si="30"/>
        <v>0.3</v>
      </c>
      <c r="AP114" s="121">
        <f t="shared" si="30"/>
        <v>0.3</v>
      </c>
      <c r="AQ114" s="121">
        <f t="shared" si="30"/>
        <v>0.3</v>
      </c>
      <c r="AR114" s="121">
        <f t="shared" si="30"/>
        <v>0.3</v>
      </c>
      <c r="AS114" s="121">
        <f t="shared" si="30"/>
        <v>0.3</v>
      </c>
      <c r="AT114" s="121">
        <f t="shared" si="30"/>
        <v>0.3</v>
      </c>
      <c r="AU114" s="121">
        <f t="shared" si="30"/>
        <v>0.3</v>
      </c>
      <c r="AV114" s="121">
        <f t="shared" si="30"/>
        <v>0.3</v>
      </c>
      <c r="AW114" s="121">
        <f t="shared" si="30"/>
        <v>0.3</v>
      </c>
      <c r="AX114" s="121">
        <f t="shared" si="30"/>
        <v>0.3</v>
      </c>
      <c r="AY114" s="121">
        <f t="shared" si="30"/>
        <v>0.3</v>
      </c>
      <c r="AZ114" s="121">
        <f t="shared" si="30"/>
        <v>0.3</v>
      </c>
      <c r="BA114" s="121">
        <f t="shared" si="30"/>
        <v>0.3</v>
      </c>
    </row>
    <row r="115" spans="2:53" ht="15">
      <c r="B115" s="172" t="s">
        <v>175</v>
      </c>
      <c r="C115" s="121">
        <v>0.4</v>
      </c>
      <c r="D115" s="121">
        <f>C115</f>
        <v>0.4</v>
      </c>
      <c r="E115" s="121">
        <f t="shared" si="30"/>
        <v>0.4</v>
      </c>
      <c r="F115" s="121">
        <f t="shared" si="30"/>
        <v>0.4</v>
      </c>
      <c r="G115" s="121">
        <f t="shared" si="30"/>
        <v>0.4</v>
      </c>
      <c r="H115" s="121">
        <f t="shared" si="30"/>
        <v>0.4</v>
      </c>
      <c r="I115" s="121">
        <f t="shared" si="30"/>
        <v>0.4</v>
      </c>
      <c r="J115" s="121">
        <f t="shared" si="30"/>
        <v>0.4</v>
      </c>
      <c r="K115" s="121">
        <f t="shared" si="30"/>
        <v>0.4</v>
      </c>
      <c r="L115" s="121">
        <f t="shared" si="30"/>
        <v>0.4</v>
      </c>
      <c r="M115" s="121">
        <f t="shared" si="30"/>
        <v>0.4</v>
      </c>
      <c r="N115" s="121">
        <f t="shared" si="30"/>
        <v>0.4</v>
      </c>
      <c r="O115" s="121">
        <f t="shared" si="30"/>
        <v>0.4</v>
      </c>
      <c r="P115" s="121">
        <f t="shared" si="30"/>
        <v>0.4</v>
      </c>
      <c r="Q115" s="121">
        <f t="shared" si="30"/>
        <v>0.4</v>
      </c>
      <c r="R115" s="121">
        <f t="shared" si="30"/>
        <v>0.4</v>
      </c>
      <c r="S115" s="121">
        <f t="shared" si="30"/>
        <v>0.4</v>
      </c>
      <c r="T115" s="121">
        <f t="shared" si="30"/>
        <v>0.4</v>
      </c>
      <c r="U115" s="121">
        <f t="shared" si="30"/>
        <v>0.4</v>
      </c>
      <c r="V115" s="121">
        <f t="shared" si="30"/>
        <v>0.4</v>
      </c>
      <c r="W115" s="121">
        <f t="shared" si="30"/>
        <v>0.4</v>
      </c>
      <c r="X115" s="121">
        <f t="shared" si="30"/>
        <v>0.4</v>
      </c>
      <c r="Y115" s="121">
        <f t="shared" si="30"/>
        <v>0.4</v>
      </c>
      <c r="Z115" s="121">
        <f t="shared" si="30"/>
        <v>0.4</v>
      </c>
      <c r="AA115" s="121">
        <f t="shared" si="30"/>
        <v>0.4</v>
      </c>
      <c r="AB115" s="121">
        <f t="shared" si="30"/>
        <v>0.4</v>
      </c>
      <c r="AC115" s="121">
        <f t="shared" si="30"/>
        <v>0.4</v>
      </c>
      <c r="AD115" s="121">
        <f aca="true" t="shared" si="31" ref="E115:BA116">AC115</f>
        <v>0.4</v>
      </c>
      <c r="AE115" s="121">
        <f t="shared" si="31"/>
        <v>0.4</v>
      </c>
      <c r="AF115" s="121">
        <f t="shared" si="31"/>
        <v>0.4</v>
      </c>
      <c r="AG115" s="121">
        <f t="shared" si="31"/>
        <v>0.4</v>
      </c>
      <c r="AH115" s="121">
        <f t="shared" si="31"/>
        <v>0.4</v>
      </c>
      <c r="AI115" s="121">
        <f t="shared" si="31"/>
        <v>0.4</v>
      </c>
      <c r="AJ115" s="121">
        <f t="shared" si="31"/>
        <v>0.4</v>
      </c>
      <c r="AK115" s="121">
        <f t="shared" si="31"/>
        <v>0.4</v>
      </c>
      <c r="AL115" s="121">
        <f t="shared" si="31"/>
        <v>0.4</v>
      </c>
      <c r="AM115" s="121">
        <f t="shared" si="31"/>
        <v>0.4</v>
      </c>
      <c r="AN115" s="121">
        <f t="shared" si="31"/>
        <v>0.4</v>
      </c>
      <c r="AO115" s="121">
        <f t="shared" si="31"/>
        <v>0.4</v>
      </c>
      <c r="AP115" s="121">
        <f t="shared" si="31"/>
        <v>0.4</v>
      </c>
      <c r="AQ115" s="121">
        <f t="shared" si="31"/>
        <v>0.4</v>
      </c>
      <c r="AR115" s="121">
        <f t="shared" si="31"/>
        <v>0.4</v>
      </c>
      <c r="AS115" s="121">
        <f t="shared" si="31"/>
        <v>0.4</v>
      </c>
      <c r="AT115" s="121">
        <f t="shared" si="31"/>
        <v>0.4</v>
      </c>
      <c r="AU115" s="121">
        <f t="shared" si="31"/>
        <v>0.4</v>
      </c>
      <c r="AV115" s="121">
        <f t="shared" si="31"/>
        <v>0.4</v>
      </c>
      <c r="AW115" s="121">
        <f t="shared" si="31"/>
        <v>0.4</v>
      </c>
      <c r="AX115" s="121">
        <f t="shared" si="31"/>
        <v>0.4</v>
      </c>
      <c r="AY115" s="121">
        <f t="shared" si="31"/>
        <v>0.4</v>
      </c>
      <c r="AZ115" s="121">
        <f t="shared" si="31"/>
        <v>0.4</v>
      </c>
      <c r="BA115" s="121">
        <f t="shared" si="31"/>
        <v>0.4</v>
      </c>
    </row>
    <row r="116" spans="2:53" ht="15">
      <c r="B116" s="172" t="s">
        <v>239</v>
      </c>
      <c r="C116" s="121">
        <v>0.45</v>
      </c>
      <c r="D116" s="121">
        <f>C116</f>
        <v>0.45</v>
      </c>
      <c r="E116" s="121">
        <f t="shared" si="31"/>
        <v>0.45</v>
      </c>
      <c r="F116" s="121">
        <f t="shared" si="31"/>
        <v>0.45</v>
      </c>
      <c r="G116" s="121">
        <f t="shared" si="31"/>
        <v>0.45</v>
      </c>
      <c r="H116" s="121">
        <f t="shared" si="31"/>
        <v>0.45</v>
      </c>
      <c r="I116" s="121">
        <f t="shared" si="31"/>
        <v>0.45</v>
      </c>
      <c r="J116" s="121">
        <f t="shared" si="31"/>
        <v>0.45</v>
      </c>
      <c r="K116" s="121">
        <f t="shared" si="31"/>
        <v>0.45</v>
      </c>
      <c r="L116" s="121">
        <f t="shared" si="31"/>
        <v>0.45</v>
      </c>
      <c r="M116" s="121">
        <f t="shared" si="31"/>
        <v>0.45</v>
      </c>
      <c r="N116" s="121">
        <f t="shared" si="31"/>
        <v>0.45</v>
      </c>
      <c r="O116" s="121">
        <f t="shared" si="31"/>
        <v>0.45</v>
      </c>
      <c r="P116" s="121">
        <f t="shared" si="31"/>
        <v>0.45</v>
      </c>
      <c r="Q116" s="121">
        <f t="shared" si="31"/>
        <v>0.45</v>
      </c>
      <c r="R116" s="121">
        <f t="shared" si="31"/>
        <v>0.45</v>
      </c>
      <c r="S116" s="121">
        <f t="shared" si="31"/>
        <v>0.45</v>
      </c>
      <c r="T116" s="121">
        <f t="shared" si="31"/>
        <v>0.45</v>
      </c>
      <c r="U116" s="121">
        <f t="shared" si="31"/>
        <v>0.45</v>
      </c>
      <c r="V116" s="121">
        <f t="shared" si="31"/>
        <v>0.45</v>
      </c>
      <c r="W116" s="121">
        <f t="shared" si="31"/>
        <v>0.45</v>
      </c>
      <c r="X116" s="121">
        <f t="shared" si="31"/>
        <v>0.45</v>
      </c>
      <c r="Y116" s="121">
        <f t="shared" si="31"/>
        <v>0.45</v>
      </c>
      <c r="Z116" s="121">
        <f t="shared" si="31"/>
        <v>0.45</v>
      </c>
      <c r="AA116" s="121">
        <f t="shared" si="31"/>
        <v>0.45</v>
      </c>
      <c r="AB116" s="121">
        <f t="shared" si="31"/>
        <v>0.45</v>
      </c>
      <c r="AC116" s="121">
        <f t="shared" si="31"/>
        <v>0.45</v>
      </c>
      <c r="AD116" s="121">
        <f t="shared" si="31"/>
        <v>0.45</v>
      </c>
      <c r="AE116" s="121">
        <f t="shared" si="31"/>
        <v>0.45</v>
      </c>
      <c r="AF116" s="121">
        <f t="shared" si="31"/>
        <v>0.45</v>
      </c>
      <c r="AG116" s="121">
        <f t="shared" si="31"/>
        <v>0.45</v>
      </c>
      <c r="AH116" s="121">
        <f t="shared" si="31"/>
        <v>0.45</v>
      </c>
      <c r="AI116" s="121">
        <f t="shared" si="31"/>
        <v>0.45</v>
      </c>
      <c r="AJ116" s="121">
        <f t="shared" si="31"/>
        <v>0.45</v>
      </c>
      <c r="AK116" s="121">
        <f t="shared" si="31"/>
        <v>0.45</v>
      </c>
      <c r="AL116" s="121">
        <f t="shared" si="31"/>
        <v>0.45</v>
      </c>
      <c r="AM116" s="121">
        <f t="shared" si="31"/>
        <v>0.45</v>
      </c>
      <c r="AN116" s="121">
        <f t="shared" si="31"/>
        <v>0.45</v>
      </c>
      <c r="AO116" s="121">
        <f t="shared" si="31"/>
        <v>0.45</v>
      </c>
      <c r="AP116" s="121">
        <f t="shared" si="31"/>
        <v>0.45</v>
      </c>
      <c r="AQ116" s="121">
        <f t="shared" si="31"/>
        <v>0.45</v>
      </c>
      <c r="AR116" s="121">
        <f t="shared" si="31"/>
        <v>0.45</v>
      </c>
      <c r="AS116" s="121">
        <f t="shared" si="31"/>
        <v>0.45</v>
      </c>
      <c r="AT116" s="121">
        <f t="shared" si="31"/>
        <v>0.45</v>
      </c>
      <c r="AU116" s="121">
        <f t="shared" si="31"/>
        <v>0.45</v>
      </c>
      <c r="AV116" s="121">
        <f t="shared" si="31"/>
        <v>0.45</v>
      </c>
      <c r="AW116" s="121">
        <f t="shared" si="31"/>
        <v>0.45</v>
      </c>
      <c r="AX116" s="121">
        <f t="shared" si="31"/>
        <v>0.45</v>
      </c>
      <c r="AY116" s="121">
        <f t="shared" si="31"/>
        <v>0.45</v>
      </c>
      <c r="AZ116" s="121">
        <f t="shared" si="31"/>
        <v>0.45</v>
      </c>
      <c r="BA116" s="121">
        <f t="shared" si="31"/>
        <v>0.45</v>
      </c>
    </row>
    <row r="118" ht="15">
      <c r="B118" s="113" t="s">
        <v>309</v>
      </c>
    </row>
    <row r="120" spans="2:53" ht="15">
      <c r="B120" s="172" t="s">
        <v>240</v>
      </c>
      <c r="C120" s="115">
        <f>Modèle!C34</f>
        <v>0</v>
      </c>
      <c r="D120" s="115">
        <f>Modèle!D34</f>
        <v>2517.505624293193</v>
      </c>
      <c r="E120" s="115">
        <f>Modèle!E34</f>
        <v>5090.628230636736</v>
      </c>
      <c r="F120" s="115">
        <f>Modèle!F34</f>
        <v>7720.491177481184</v>
      </c>
      <c r="G120" s="115">
        <f>Modèle!G34</f>
        <v>10408.240313498536</v>
      </c>
      <c r="H120" s="115">
        <f>Modèle!H34</f>
        <v>13155.044427434896</v>
      </c>
      <c r="I120" s="115">
        <f>Modèle!I34</f>
        <v>15962.095706960277</v>
      </c>
      <c r="J120" s="115">
        <f>Modèle!J34</f>
        <v>18830.610206695517</v>
      </c>
      <c r="K120" s="115">
        <f>Modèle!K34</f>
        <v>21761.82832559982</v>
      </c>
      <c r="L120" s="115">
        <f>Modèle!L34</f>
        <v>24757.015293906163</v>
      </c>
      <c r="M120" s="115">
        <f>Modèle!M34</f>
        <v>27817.461669795495</v>
      </c>
      <c r="N120" s="115">
        <f>Modèle!N34</f>
        <v>31237.1700847119</v>
      </c>
      <c r="O120" s="115">
        <f>Modèle!O34</f>
        <v>34731.26309717526</v>
      </c>
      <c r="P120" s="115">
        <f>Modèle!P34</f>
        <v>38301.24093170414</v>
      </c>
      <c r="Q120" s="115">
        <f>Modèle!Q34</f>
        <v>41948.63384352683</v>
      </c>
      <c r="R120" s="115">
        <f>Modèle!R34</f>
        <v>45675.00271925044</v>
      </c>
      <c r="S120" s="115">
        <f>Modèle!S34</f>
        <v>49481.939689543375</v>
      </c>
      <c r="T120" s="115">
        <f>Modèle!T34</f>
        <v>53371.06875407168</v>
      </c>
      <c r="U120" s="115">
        <f>Modèle!U34</f>
        <v>57344.04641893421</v>
      </c>
      <c r="V120" s="115">
        <f>Modèle!V34</f>
        <v>61402.562346846564</v>
      </c>
      <c r="W120" s="115">
        <f>Modèle!W34</f>
        <v>65548.34002032886</v>
      </c>
      <c r="X120" s="115">
        <f>Modèle!X34</f>
        <v>69784.32351392574</v>
      </c>
      <c r="Y120" s="115">
        <f>Modèle!Y34</f>
        <v>74112.74290426701</v>
      </c>
      <c r="Z120" s="115">
        <f>Modèle!Z34</f>
        <v>78535.46726478066</v>
      </c>
      <c r="AA120" s="115">
        <f>Modèle!AA34</f>
        <v>83054.40310406126</v>
      </c>
      <c r="AB120" s="115">
        <f>Modèle!AB34</f>
        <v>87671.49511471495</v>
      </c>
      <c r="AC120" s="115">
        <f>Modèle!AC34</f>
        <v>92388.72693718172</v>
      </c>
      <c r="AD120" s="115">
        <f>Modèle!AD34</f>
        <v>97208.12193883445</v>
      </c>
      <c r="AE120" s="115">
        <f>Modèle!AE34</f>
        <v>102131.74400866036</v>
      </c>
      <c r="AF120" s="115">
        <f>Modèle!AF34</f>
        <v>107161.69836783648</v>
      </c>
      <c r="AG120" s="115">
        <f>Modèle!AG34</f>
        <v>112300.13239651693</v>
      </c>
      <c r="AH120" s="115">
        <f>Modèle!AH34</f>
        <v>118002.23618914875</v>
      </c>
      <c r="AI120" s="115">
        <f>Modèle!AI34</f>
        <v>123827.49929125061</v>
      </c>
      <c r="AJ120" s="115">
        <f>Modèle!AJ34</f>
        <v>129778.40894037655</v>
      </c>
      <c r="AK120" s="115">
        <f>Modèle!AK34</f>
        <v>135857.50218227945</v>
      </c>
      <c r="AL120" s="115">
        <f>Modèle!AL34</f>
        <v>142067.36686724238</v>
      </c>
      <c r="AM120" s="115">
        <f>Modèle!AM34</f>
        <v>148410.64266633708</v>
      </c>
      <c r="AN120" s="115">
        <f>Modèle!AN34</f>
        <v>154890.0221080079</v>
      </c>
      <c r="AO120" s="115">
        <f>Modèle!AO34</f>
        <v>161508.251635388</v>
      </c>
      <c r="AP120" s="115">
        <f>Modèle!AP34</f>
        <v>168268.13268476236</v>
      </c>
      <c r="AQ120" s="115">
        <f>Modèle!AQ34</f>
        <v>175172.52278560025</v>
      </c>
      <c r="AR120" s="115">
        <f>Modèle!AR34</f>
        <v>182224.33668258906</v>
      </c>
      <c r="AS120" s="115">
        <f>Modèle!AS34</f>
        <v>189426.54748010912</v>
      </c>
      <c r="AT120" s="115">
        <f>Modèle!AT34</f>
        <v>192718.5134961477</v>
      </c>
      <c r="AU120" s="115">
        <f>Modèle!AU34</f>
        <v>196075.00888863794</v>
      </c>
      <c r="AV120" s="115">
        <f>Modèle!AV34</f>
        <v>199497.32078946225</v>
      </c>
      <c r="AW120" s="115">
        <f>Modèle!AW34</f>
        <v>202986.76206402466</v>
      </c>
      <c r="AX120" s="115">
        <f>Modèle!AX34</f>
        <v>206544.67182589715</v>
      </c>
      <c r="AY120" s="115">
        <f>Modèle!AY34</f>
        <v>210172.415961759</v>
      </c>
      <c r="AZ120" s="115">
        <f>Modèle!AZ34</f>
        <v>213871.38766683466</v>
      </c>
      <c r="BA120" s="115">
        <f>Modèle!BA34</f>
        <v>217643.0079910405</v>
      </c>
    </row>
    <row r="121" spans="2:53" ht="15">
      <c r="B121" s="172" t="s">
        <v>241</v>
      </c>
      <c r="C121" s="115">
        <v>100000</v>
      </c>
      <c r="D121" s="115">
        <f>C121*(1+D108)</f>
        <v>102000</v>
      </c>
      <c r="E121" s="115">
        <f aca="true" t="shared" si="32" ref="E121:BA121">D121*(1+E108)</f>
        <v>104040</v>
      </c>
      <c r="F121" s="115">
        <f t="shared" si="32"/>
        <v>106120.8</v>
      </c>
      <c r="G121" s="115">
        <f t="shared" si="32"/>
        <v>108243.216</v>
      </c>
      <c r="H121" s="115">
        <f t="shared" si="32"/>
        <v>110408.08032000001</v>
      </c>
      <c r="I121" s="115">
        <f t="shared" si="32"/>
        <v>112616.2419264</v>
      </c>
      <c r="J121" s="115">
        <f t="shared" si="32"/>
        <v>114868.56676492801</v>
      </c>
      <c r="K121" s="115">
        <f t="shared" si="32"/>
        <v>117165.93810022657</v>
      </c>
      <c r="L121" s="115">
        <f t="shared" si="32"/>
        <v>119509.25686223111</v>
      </c>
      <c r="M121" s="115">
        <f t="shared" si="32"/>
        <v>121899.44199947573</v>
      </c>
      <c r="N121" s="115">
        <f t="shared" si="32"/>
        <v>124337.43083946525</v>
      </c>
      <c r="O121" s="115">
        <f t="shared" si="32"/>
        <v>126824.17945625455</v>
      </c>
      <c r="P121" s="115">
        <f t="shared" si="32"/>
        <v>129360.66304537965</v>
      </c>
      <c r="Q121" s="115">
        <f t="shared" si="32"/>
        <v>131947.87630628725</v>
      </c>
      <c r="R121" s="115">
        <f t="shared" si="32"/>
        <v>134586.833832413</v>
      </c>
      <c r="S121" s="115">
        <f t="shared" si="32"/>
        <v>137278.57050906125</v>
      </c>
      <c r="T121" s="115">
        <f t="shared" si="32"/>
        <v>140024.14191924248</v>
      </c>
      <c r="U121" s="115">
        <f t="shared" si="32"/>
        <v>142824.62475762735</v>
      </c>
      <c r="V121" s="115">
        <f t="shared" si="32"/>
        <v>145681.1172527799</v>
      </c>
      <c r="W121" s="115">
        <f t="shared" si="32"/>
        <v>148594.7395978355</v>
      </c>
      <c r="X121" s="115">
        <f t="shared" si="32"/>
        <v>151566.6343897922</v>
      </c>
      <c r="Y121" s="115">
        <f t="shared" si="32"/>
        <v>154597.96707758805</v>
      </c>
      <c r="Z121" s="115">
        <f t="shared" si="32"/>
        <v>157689.9264191398</v>
      </c>
      <c r="AA121" s="115">
        <f t="shared" si="32"/>
        <v>160843.7249475226</v>
      </c>
      <c r="AB121" s="115">
        <f t="shared" si="32"/>
        <v>164060.59944647306</v>
      </c>
      <c r="AC121" s="115">
        <f t="shared" si="32"/>
        <v>167341.81143540252</v>
      </c>
      <c r="AD121" s="115">
        <f t="shared" si="32"/>
        <v>170688.64766411058</v>
      </c>
      <c r="AE121" s="115">
        <f t="shared" si="32"/>
        <v>174102.4206173928</v>
      </c>
      <c r="AF121" s="115">
        <f t="shared" si="32"/>
        <v>177584.46902974066</v>
      </c>
      <c r="AG121" s="115">
        <f t="shared" si="32"/>
        <v>181136.15841033548</v>
      </c>
      <c r="AH121" s="115">
        <f t="shared" si="32"/>
        <v>184758.8815785422</v>
      </c>
      <c r="AI121" s="115">
        <f t="shared" si="32"/>
        <v>188454.05921011305</v>
      </c>
      <c r="AJ121" s="115">
        <f t="shared" si="32"/>
        <v>192223.1403943153</v>
      </c>
      <c r="AK121" s="115">
        <f t="shared" si="32"/>
        <v>196067.6032022016</v>
      </c>
      <c r="AL121" s="115">
        <f t="shared" si="32"/>
        <v>199988.95526624564</v>
      </c>
      <c r="AM121" s="115">
        <f t="shared" si="32"/>
        <v>203988.73437157055</v>
      </c>
      <c r="AN121" s="115">
        <f t="shared" si="32"/>
        <v>208068.50905900195</v>
      </c>
      <c r="AO121" s="115">
        <f t="shared" si="32"/>
        <v>212229.879240182</v>
      </c>
      <c r="AP121" s="115">
        <f t="shared" si="32"/>
        <v>216474.47682498564</v>
      </c>
      <c r="AQ121" s="115">
        <f t="shared" si="32"/>
        <v>220803.96636148536</v>
      </c>
      <c r="AR121" s="115">
        <f t="shared" si="32"/>
        <v>225220.04568871506</v>
      </c>
      <c r="AS121" s="115">
        <f t="shared" si="32"/>
        <v>229724.44660248936</v>
      </c>
      <c r="AT121" s="115">
        <f t="shared" si="32"/>
        <v>234318.93553453917</v>
      </c>
      <c r="AU121" s="115">
        <f t="shared" si="32"/>
        <v>239005.31424522997</v>
      </c>
      <c r="AV121" s="115">
        <f t="shared" si="32"/>
        <v>243785.42053013458</v>
      </c>
      <c r="AW121" s="115">
        <f t="shared" si="32"/>
        <v>248661.12894073728</v>
      </c>
      <c r="AX121" s="115">
        <f t="shared" si="32"/>
        <v>253634.35151955203</v>
      </c>
      <c r="AY121" s="115">
        <f t="shared" si="32"/>
        <v>258707.03854994307</v>
      </c>
      <c r="AZ121" s="115">
        <f t="shared" si="32"/>
        <v>263881.1793209419</v>
      </c>
      <c r="BA121" s="115">
        <f t="shared" si="32"/>
        <v>269158.8029073608</v>
      </c>
    </row>
    <row r="122" spans="2:53" ht="15">
      <c r="B122" s="172" t="s">
        <v>242</v>
      </c>
      <c r="C122" s="115">
        <f>IF((C120-C121)&lt;0,0,C120-C121)</f>
        <v>0</v>
      </c>
      <c r="D122" s="115">
        <f aca="true" t="shared" si="33" ref="D122:BA122">IF((D120-D121)&lt;0,0,D120-D121)</f>
        <v>0</v>
      </c>
      <c r="E122" s="115">
        <f t="shared" si="33"/>
        <v>0</v>
      </c>
      <c r="F122" s="115">
        <f t="shared" si="33"/>
        <v>0</v>
      </c>
      <c r="G122" s="115">
        <f t="shared" si="33"/>
        <v>0</v>
      </c>
      <c r="H122" s="115">
        <f t="shared" si="33"/>
        <v>0</v>
      </c>
      <c r="I122" s="115">
        <f t="shared" si="33"/>
        <v>0</v>
      </c>
      <c r="J122" s="115">
        <f t="shared" si="33"/>
        <v>0</v>
      </c>
      <c r="K122" s="115">
        <f t="shared" si="33"/>
        <v>0</v>
      </c>
      <c r="L122" s="115">
        <f t="shared" si="33"/>
        <v>0</v>
      </c>
      <c r="M122" s="115">
        <f t="shared" si="33"/>
        <v>0</v>
      </c>
      <c r="N122" s="115">
        <f t="shared" si="33"/>
        <v>0</v>
      </c>
      <c r="O122" s="115">
        <f t="shared" si="33"/>
        <v>0</v>
      </c>
      <c r="P122" s="115">
        <f t="shared" si="33"/>
        <v>0</v>
      </c>
      <c r="Q122" s="115">
        <f t="shared" si="33"/>
        <v>0</v>
      </c>
      <c r="R122" s="115">
        <f t="shared" si="33"/>
        <v>0</v>
      </c>
      <c r="S122" s="115">
        <f t="shared" si="33"/>
        <v>0</v>
      </c>
      <c r="T122" s="115">
        <f t="shared" si="33"/>
        <v>0</v>
      </c>
      <c r="U122" s="115">
        <f t="shared" si="33"/>
        <v>0</v>
      </c>
      <c r="V122" s="115">
        <f t="shared" si="33"/>
        <v>0</v>
      </c>
      <c r="W122" s="115">
        <f t="shared" si="33"/>
        <v>0</v>
      </c>
      <c r="X122" s="115">
        <f t="shared" si="33"/>
        <v>0</v>
      </c>
      <c r="Y122" s="115">
        <f t="shared" si="33"/>
        <v>0</v>
      </c>
      <c r="Z122" s="115">
        <f t="shared" si="33"/>
        <v>0</v>
      </c>
      <c r="AA122" s="115">
        <f t="shared" si="33"/>
        <v>0</v>
      </c>
      <c r="AB122" s="115">
        <f t="shared" si="33"/>
        <v>0</v>
      </c>
      <c r="AC122" s="115">
        <f t="shared" si="33"/>
        <v>0</v>
      </c>
      <c r="AD122" s="115">
        <f t="shared" si="33"/>
        <v>0</v>
      </c>
      <c r="AE122" s="115">
        <f t="shared" si="33"/>
        <v>0</v>
      </c>
      <c r="AF122" s="115">
        <f t="shared" si="33"/>
        <v>0</v>
      </c>
      <c r="AG122" s="115">
        <f t="shared" si="33"/>
        <v>0</v>
      </c>
      <c r="AH122" s="115">
        <f t="shared" si="33"/>
        <v>0</v>
      </c>
      <c r="AI122" s="115">
        <f t="shared" si="33"/>
        <v>0</v>
      </c>
      <c r="AJ122" s="115">
        <f t="shared" si="33"/>
        <v>0</v>
      </c>
      <c r="AK122" s="115">
        <f t="shared" si="33"/>
        <v>0</v>
      </c>
      <c r="AL122" s="115">
        <f t="shared" si="33"/>
        <v>0</v>
      </c>
      <c r="AM122" s="115">
        <f t="shared" si="33"/>
        <v>0</v>
      </c>
      <c r="AN122" s="115">
        <f t="shared" si="33"/>
        <v>0</v>
      </c>
      <c r="AO122" s="115">
        <f t="shared" si="33"/>
        <v>0</v>
      </c>
      <c r="AP122" s="115">
        <f t="shared" si="33"/>
        <v>0</v>
      </c>
      <c r="AQ122" s="115">
        <f t="shared" si="33"/>
        <v>0</v>
      </c>
      <c r="AR122" s="115">
        <f t="shared" si="33"/>
        <v>0</v>
      </c>
      <c r="AS122" s="115">
        <f t="shared" si="33"/>
        <v>0</v>
      </c>
      <c r="AT122" s="115">
        <f t="shared" si="33"/>
        <v>0</v>
      </c>
      <c r="AU122" s="115">
        <f t="shared" si="33"/>
        <v>0</v>
      </c>
      <c r="AV122" s="115">
        <f t="shared" si="33"/>
        <v>0</v>
      </c>
      <c r="AW122" s="115">
        <f t="shared" si="33"/>
        <v>0</v>
      </c>
      <c r="AX122" s="115">
        <f t="shared" si="33"/>
        <v>0</v>
      </c>
      <c r="AY122" s="115">
        <f t="shared" si="33"/>
        <v>0</v>
      </c>
      <c r="AZ122" s="115">
        <f t="shared" si="33"/>
        <v>0</v>
      </c>
      <c r="BA122" s="115">
        <f t="shared" si="33"/>
        <v>0</v>
      </c>
    </row>
    <row r="124" spans="2:53" ht="15">
      <c r="B124" s="172" t="s">
        <v>170</v>
      </c>
      <c r="C124" s="115">
        <f>IF(C$122&lt;C100,C$122,C100)</f>
        <v>0</v>
      </c>
      <c r="D124" s="115">
        <f aca="true" t="shared" si="34" ref="D124:BA124">IF(D$122&lt;D100,D$122,D100)</f>
        <v>0</v>
      </c>
      <c r="E124" s="115">
        <f t="shared" si="34"/>
        <v>0</v>
      </c>
      <c r="F124" s="115">
        <f t="shared" si="34"/>
        <v>0</v>
      </c>
      <c r="G124" s="115">
        <f t="shared" si="34"/>
        <v>0</v>
      </c>
      <c r="H124" s="115">
        <f t="shared" si="34"/>
        <v>0</v>
      </c>
      <c r="I124" s="115">
        <f t="shared" si="34"/>
        <v>0</v>
      </c>
      <c r="J124" s="115">
        <f t="shared" si="34"/>
        <v>0</v>
      </c>
      <c r="K124" s="115">
        <f t="shared" si="34"/>
        <v>0</v>
      </c>
      <c r="L124" s="115">
        <f t="shared" si="34"/>
        <v>0</v>
      </c>
      <c r="M124" s="115">
        <f t="shared" si="34"/>
        <v>0</v>
      </c>
      <c r="N124" s="115">
        <f t="shared" si="34"/>
        <v>0</v>
      </c>
      <c r="O124" s="115">
        <f t="shared" si="34"/>
        <v>0</v>
      </c>
      <c r="P124" s="115">
        <f t="shared" si="34"/>
        <v>0</v>
      </c>
      <c r="Q124" s="115">
        <f t="shared" si="34"/>
        <v>0</v>
      </c>
      <c r="R124" s="115">
        <f t="shared" si="34"/>
        <v>0</v>
      </c>
      <c r="S124" s="115">
        <f t="shared" si="34"/>
        <v>0</v>
      </c>
      <c r="T124" s="115">
        <f t="shared" si="34"/>
        <v>0</v>
      </c>
      <c r="U124" s="115">
        <f t="shared" si="34"/>
        <v>0</v>
      </c>
      <c r="V124" s="115">
        <f t="shared" si="34"/>
        <v>0</v>
      </c>
      <c r="W124" s="115">
        <f t="shared" si="34"/>
        <v>0</v>
      </c>
      <c r="X124" s="115">
        <f t="shared" si="34"/>
        <v>0</v>
      </c>
      <c r="Y124" s="115">
        <f t="shared" si="34"/>
        <v>0</v>
      </c>
      <c r="Z124" s="115">
        <f t="shared" si="34"/>
        <v>0</v>
      </c>
      <c r="AA124" s="115">
        <f t="shared" si="34"/>
        <v>0</v>
      </c>
      <c r="AB124" s="115">
        <f t="shared" si="34"/>
        <v>0</v>
      </c>
      <c r="AC124" s="115">
        <f t="shared" si="34"/>
        <v>0</v>
      </c>
      <c r="AD124" s="115">
        <f t="shared" si="34"/>
        <v>0</v>
      </c>
      <c r="AE124" s="115">
        <f t="shared" si="34"/>
        <v>0</v>
      </c>
      <c r="AF124" s="115">
        <f t="shared" si="34"/>
        <v>0</v>
      </c>
      <c r="AG124" s="115">
        <f t="shared" si="34"/>
        <v>0</v>
      </c>
      <c r="AH124" s="115">
        <f t="shared" si="34"/>
        <v>0</v>
      </c>
      <c r="AI124" s="115">
        <f t="shared" si="34"/>
        <v>0</v>
      </c>
      <c r="AJ124" s="115">
        <f t="shared" si="34"/>
        <v>0</v>
      </c>
      <c r="AK124" s="115">
        <f t="shared" si="34"/>
        <v>0</v>
      </c>
      <c r="AL124" s="115">
        <f t="shared" si="34"/>
        <v>0</v>
      </c>
      <c r="AM124" s="115">
        <f t="shared" si="34"/>
        <v>0</v>
      </c>
      <c r="AN124" s="115">
        <f t="shared" si="34"/>
        <v>0</v>
      </c>
      <c r="AO124" s="115">
        <f t="shared" si="34"/>
        <v>0</v>
      </c>
      <c r="AP124" s="115">
        <f t="shared" si="34"/>
        <v>0</v>
      </c>
      <c r="AQ124" s="115">
        <f t="shared" si="34"/>
        <v>0</v>
      </c>
      <c r="AR124" s="115">
        <f t="shared" si="34"/>
        <v>0</v>
      </c>
      <c r="AS124" s="115">
        <f t="shared" si="34"/>
        <v>0</v>
      </c>
      <c r="AT124" s="115">
        <f t="shared" si="34"/>
        <v>0</v>
      </c>
      <c r="AU124" s="115">
        <f t="shared" si="34"/>
        <v>0</v>
      </c>
      <c r="AV124" s="115">
        <f t="shared" si="34"/>
        <v>0</v>
      </c>
      <c r="AW124" s="115">
        <f t="shared" si="34"/>
        <v>0</v>
      </c>
      <c r="AX124" s="115">
        <f t="shared" si="34"/>
        <v>0</v>
      </c>
      <c r="AY124" s="115">
        <f t="shared" si="34"/>
        <v>0</v>
      </c>
      <c r="AZ124" s="115">
        <f t="shared" si="34"/>
        <v>0</v>
      </c>
      <c r="BA124" s="115">
        <f t="shared" si="34"/>
        <v>0</v>
      </c>
    </row>
    <row r="125" spans="2:53" ht="15">
      <c r="B125" s="172" t="s">
        <v>171</v>
      </c>
      <c r="C125" s="115">
        <f>IF(C$122&lt;C101,C$122-SUM(C$124:C124),C101-SUM(C$100:C100))</f>
        <v>0</v>
      </c>
      <c r="D125" s="115">
        <f>IF(D$122&lt;D101,D$122-SUM(D$124:D124),D101-SUM(D$100:D100))</f>
        <v>0</v>
      </c>
      <c r="E125" s="115">
        <f>IF(E$122&lt;E101,E$122-SUM(E$124:E124),E101-SUM(E$100:E100))</f>
        <v>0</v>
      </c>
      <c r="F125" s="115">
        <f>IF(F$122&lt;F101,F$122-SUM(F$124:F124),F101-SUM(F$100:F100))</f>
        <v>0</v>
      </c>
      <c r="G125" s="115">
        <f>IF(G$122&lt;G101,G$122-SUM(G$124:G124),G101-SUM(G$100:G100))</f>
        <v>0</v>
      </c>
      <c r="H125" s="115">
        <f>IF(H$122&lt;H101,H$122-SUM(H$124:H124),H101-SUM(H$100:H100))</f>
        <v>0</v>
      </c>
      <c r="I125" s="115">
        <f>IF(I$122&lt;I101,I$122-SUM(I$124:I124),I101-SUM(I$100:I100))</f>
        <v>0</v>
      </c>
      <c r="J125" s="115">
        <f>IF(J$122&lt;J101,J$122-SUM(J$124:J124),J101-SUM(J$100:J100))</f>
        <v>0</v>
      </c>
      <c r="K125" s="115">
        <f>IF(K$122&lt;K101,K$122-SUM(K$124:K124),K101-SUM(K$100:K100))</f>
        <v>0</v>
      </c>
      <c r="L125" s="115">
        <f>IF(L$122&lt;L101,L$122-SUM(L$124:L124),L101-SUM(L$100:L100))</f>
        <v>0</v>
      </c>
      <c r="M125" s="115">
        <f>IF(M$122&lt;M101,M$122-SUM(M$124:M124),M101-SUM(M$100:M100))</f>
        <v>0</v>
      </c>
      <c r="N125" s="115">
        <f>IF(N$122&lt;N101,N$122-SUM(N$124:N124),N101-SUM(N$100:N100))</f>
        <v>0</v>
      </c>
      <c r="O125" s="115">
        <f>IF(O$122&lt;O101,O$122-SUM(O$124:O124),O101-SUM(O$100:O100))</f>
        <v>0</v>
      </c>
      <c r="P125" s="115">
        <f>IF(P$122&lt;P101,P$122-SUM(P$124:P124),P101-SUM(P$100:P100))</f>
        <v>0</v>
      </c>
      <c r="Q125" s="115">
        <f>IF(Q$122&lt;Q101,Q$122-SUM(Q$124:Q124),Q101-SUM(Q$100:Q100))</f>
        <v>0</v>
      </c>
      <c r="R125" s="115">
        <f>IF(R$122&lt;R101,R$122-SUM(R$124:R124),R101-SUM(R$100:R100))</f>
        <v>0</v>
      </c>
      <c r="S125" s="115">
        <f>IF(S$122&lt;S101,S$122-SUM(S$124:S124),S101-SUM(S$100:S100))</f>
        <v>0</v>
      </c>
      <c r="T125" s="115">
        <f>IF(T$122&lt;T101,T$122-SUM(T$124:T124),T101-SUM(T$100:T100))</f>
        <v>0</v>
      </c>
      <c r="U125" s="115">
        <f>IF(U$122&lt;U101,U$122-SUM(U$124:U124),U101-SUM(U$100:U100))</f>
        <v>0</v>
      </c>
      <c r="V125" s="115">
        <f>IF(V$122&lt;V101,V$122-SUM(V$124:V124),V101-SUM(V$100:V100))</f>
        <v>0</v>
      </c>
      <c r="W125" s="115">
        <f>IF(W$122&lt;W101,W$122-SUM(W$124:W124),W101-SUM(W$100:W100))</f>
        <v>0</v>
      </c>
      <c r="X125" s="115">
        <f>IF(X$122&lt;X101,X$122-SUM(X$124:X124),X101-SUM(X$100:X100))</f>
        <v>0</v>
      </c>
      <c r="Y125" s="115">
        <f>IF(Y$122&lt;Y101,Y$122-SUM(Y$124:Y124),Y101-SUM(Y$100:Y100))</f>
        <v>0</v>
      </c>
      <c r="Z125" s="115">
        <f>IF(Z$122&lt;Z101,Z$122-SUM(Z$124:Z124),Z101-SUM(Z$100:Z100))</f>
        <v>0</v>
      </c>
      <c r="AA125" s="115">
        <f>IF(AA$122&lt;AA101,AA$122-SUM(AA$124:AA124),AA101-SUM(AA$100:AA100))</f>
        <v>0</v>
      </c>
      <c r="AB125" s="115">
        <f>IF(AB$122&lt;AB101,AB$122-SUM(AB$124:AB124),AB101-SUM(AB$100:AB100))</f>
        <v>0</v>
      </c>
      <c r="AC125" s="115">
        <f>IF(AC$122&lt;AC101,AC$122-SUM(AC$124:AC124),AC101-SUM(AC$100:AC100))</f>
        <v>0</v>
      </c>
      <c r="AD125" s="115">
        <f>IF(AD$122&lt;AD101,AD$122-SUM(AD$124:AD124),AD101-SUM(AD$100:AD100))</f>
        <v>0</v>
      </c>
      <c r="AE125" s="115">
        <f>IF(AE$122&lt;AE101,AE$122-SUM(AE$124:AE124),AE101-SUM(AE$100:AE100))</f>
        <v>0</v>
      </c>
      <c r="AF125" s="115">
        <f>IF(AF$122&lt;AF101,AF$122-SUM(AF$124:AF124),AF101-SUM(AF$100:AF100))</f>
        <v>0</v>
      </c>
      <c r="AG125" s="115">
        <f>IF(AG$122&lt;AG101,AG$122-SUM(AG$124:AG124),AG101-SUM(AG$100:AG100))</f>
        <v>0</v>
      </c>
      <c r="AH125" s="115">
        <f>IF(AH$122&lt;AH101,AH$122-SUM(AH$124:AH124),AH101-SUM(AH$100:AH100))</f>
        <v>0</v>
      </c>
      <c r="AI125" s="115">
        <f>IF(AI$122&lt;AI101,AI$122-SUM(AI$124:AI124),AI101-SUM(AI$100:AI100))</f>
        <v>0</v>
      </c>
      <c r="AJ125" s="115">
        <f>IF(AJ$122&lt;AJ101,AJ$122-SUM(AJ$124:AJ124),AJ101-SUM(AJ$100:AJ100))</f>
        <v>0</v>
      </c>
      <c r="AK125" s="115">
        <f>IF(AK$122&lt;AK101,AK$122-SUM(AK$124:AK124),AK101-SUM(AK$100:AK100))</f>
        <v>0</v>
      </c>
      <c r="AL125" s="115">
        <f>IF(AL$122&lt;AL101,AL$122-SUM(AL$124:AL124),AL101-SUM(AL$100:AL100))</f>
        <v>0</v>
      </c>
      <c r="AM125" s="115">
        <f>IF(AM$122&lt;AM101,AM$122-SUM(AM$124:AM124),AM101-SUM(AM$100:AM100))</f>
        <v>0</v>
      </c>
      <c r="AN125" s="115">
        <f>IF(AN$122&lt;AN101,AN$122-SUM(AN$124:AN124),AN101-SUM(AN$100:AN100))</f>
        <v>0</v>
      </c>
      <c r="AO125" s="115">
        <f>IF(AO$122&lt;AO101,AO$122-SUM(AO$124:AO124),AO101-SUM(AO$100:AO100))</f>
        <v>0</v>
      </c>
      <c r="AP125" s="115">
        <f>IF(AP$122&lt;AP101,AP$122-SUM(AP$124:AP124),AP101-SUM(AP$100:AP100))</f>
        <v>0</v>
      </c>
      <c r="AQ125" s="115">
        <f>IF(AQ$122&lt;AQ101,AQ$122-SUM(AQ$124:AQ124),AQ101-SUM(AQ$100:AQ100))</f>
        <v>0</v>
      </c>
      <c r="AR125" s="115">
        <f>IF(AR$122&lt;AR101,AR$122-SUM(AR$124:AR124),AR101-SUM(AR$100:AR100))</f>
        <v>0</v>
      </c>
      <c r="AS125" s="115">
        <f>IF(AS$122&lt;AS101,AS$122-SUM(AS$124:AS124),AS101-SUM(AS$100:AS100))</f>
        <v>0</v>
      </c>
      <c r="AT125" s="115">
        <f>IF(AT$122&lt;AT101,AT$122-SUM(AT$124:AT124),AT101-SUM(AT$100:AT100))</f>
        <v>0</v>
      </c>
      <c r="AU125" s="115">
        <f>IF(AU$122&lt;AU101,AU$122-SUM(AU$124:AU124),AU101-SUM(AU$100:AU100))</f>
        <v>0</v>
      </c>
      <c r="AV125" s="115">
        <f>IF(AV$122&lt;AV101,AV$122-SUM(AV$124:AV124),AV101-SUM(AV$100:AV100))</f>
        <v>0</v>
      </c>
      <c r="AW125" s="115">
        <f>IF(AW$122&lt;AW101,AW$122-SUM(AW$124:AW124),AW101-SUM(AW$100:AW100))</f>
        <v>0</v>
      </c>
      <c r="AX125" s="115">
        <f>IF(AX$122&lt;AX101,AX$122-SUM(AX$124:AX124),AX101-SUM(AX$100:AX100))</f>
        <v>0</v>
      </c>
      <c r="AY125" s="115">
        <f>IF(AY$122&lt;AY101,AY$122-SUM(AY$124:AY124),AY101-SUM(AY$100:AY100))</f>
        <v>0</v>
      </c>
      <c r="AZ125" s="115">
        <f>IF(AZ$122&lt;AZ101,AZ$122-SUM(AZ$124:AZ124),AZ101-SUM(AZ$100:AZ100))</f>
        <v>0</v>
      </c>
      <c r="BA125" s="115">
        <f>IF(BA$122&lt;BA101,BA$122-SUM(BA$124:BA124),BA101-SUM(BA$100:BA100))</f>
        <v>0</v>
      </c>
    </row>
    <row r="126" spans="2:53" ht="15">
      <c r="B126" s="172" t="s">
        <v>172</v>
      </c>
      <c r="C126" s="115">
        <f>IF(C$122&lt;C102,C$122-SUM(C$124:C125),C102-SUM(C$100:C101))</f>
        <v>0</v>
      </c>
      <c r="D126" s="115">
        <f>IF(D$122&lt;D102,D$122-SUM(D$124:D125),D102-SUM(D$100:D101))</f>
        <v>0</v>
      </c>
      <c r="E126" s="115">
        <f>IF(E$122&lt;E102,E$122-SUM(E$124:E125),E102-SUM(E$100:E101))</f>
        <v>0</v>
      </c>
      <c r="F126" s="115">
        <f>IF(F$122&lt;F102,F$122-SUM(F$124:F125),F102-SUM(F$100:F101))</f>
        <v>0</v>
      </c>
      <c r="G126" s="115">
        <f>IF(G$122&lt;G102,G$122-SUM(G$124:G125),G102-SUM(G$100:G101))</f>
        <v>0</v>
      </c>
      <c r="H126" s="115">
        <f>IF(H$122&lt;H102,H$122-SUM(H$124:H125),H102-SUM(H$100:H101))</f>
        <v>0</v>
      </c>
      <c r="I126" s="115">
        <f>IF(I$122&lt;I102,I$122-SUM(I$124:I125),I102-SUM(I$100:I101))</f>
        <v>0</v>
      </c>
      <c r="J126" s="115">
        <f>IF(J$122&lt;J102,J$122-SUM(J$124:J125),J102-SUM(J$100:J101))</f>
        <v>0</v>
      </c>
      <c r="K126" s="115">
        <f>IF(K$122&lt;K102,K$122-SUM(K$124:K125),K102-SUM(K$100:K101))</f>
        <v>0</v>
      </c>
      <c r="L126" s="115">
        <f>IF(L$122&lt;L102,L$122-SUM(L$124:L125),L102-SUM(L$100:L101))</f>
        <v>0</v>
      </c>
      <c r="M126" s="115">
        <f>IF(M$122&lt;M102,M$122-SUM(M$124:M125),M102-SUM(M$100:M101))</f>
        <v>0</v>
      </c>
      <c r="N126" s="115">
        <f>IF(N$122&lt;N102,N$122-SUM(N$124:N125),N102-SUM(N$100:N101))</f>
        <v>0</v>
      </c>
      <c r="O126" s="115">
        <f>IF(O$122&lt;O102,O$122-SUM(O$124:O125),O102-SUM(O$100:O101))</f>
        <v>0</v>
      </c>
      <c r="P126" s="115">
        <f>IF(P$122&lt;P102,P$122-SUM(P$124:P125),P102-SUM(P$100:P101))</f>
        <v>0</v>
      </c>
      <c r="Q126" s="115">
        <f>IF(Q$122&lt;Q102,Q$122-SUM(Q$124:Q125),Q102-SUM(Q$100:Q101))</f>
        <v>0</v>
      </c>
      <c r="R126" s="115">
        <f>IF(R$122&lt;R102,R$122-SUM(R$124:R125),R102-SUM(R$100:R101))</f>
        <v>0</v>
      </c>
      <c r="S126" s="115">
        <f>IF(S$122&lt;S102,S$122-SUM(S$124:S125),S102-SUM(S$100:S101))</f>
        <v>0</v>
      </c>
      <c r="T126" s="115">
        <f>IF(T$122&lt;T102,T$122-SUM(T$124:T125),T102-SUM(T$100:T101))</f>
        <v>0</v>
      </c>
      <c r="U126" s="115">
        <f>IF(U$122&lt;U102,U$122-SUM(U$124:U125),U102-SUM(U$100:U101))</f>
        <v>0</v>
      </c>
      <c r="V126" s="115">
        <f>IF(V$122&lt;V102,V$122-SUM(V$124:V125),V102-SUM(V$100:V101))</f>
        <v>0</v>
      </c>
      <c r="W126" s="115">
        <f>IF(W$122&lt;W102,W$122-SUM(W$124:W125),W102-SUM(W$100:W101))</f>
        <v>0</v>
      </c>
      <c r="X126" s="115">
        <f>IF(X$122&lt;X102,X$122-SUM(X$124:X125),X102-SUM(X$100:X101))</f>
        <v>0</v>
      </c>
      <c r="Y126" s="115">
        <f>IF(Y$122&lt;Y102,Y$122-SUM(Y$124:Y125),Y102-SUM(Y$100:Y101))</f>
        <v>0</v>
      </c>
      <c r="Z126" s="115">
        <f>IF(Z$122&lt;Z102,Z$122-SUM(Z$124:Z125),Z102-SUM(Z$100:Z101))</f>
        <v>0</v>
      </c>
      <c r="AA126" s="115">
        <f>IF(AA$122&lt;AA102,AA$122-SUM(AA$124:AA125),AA102-SUM(AA$100:AA101))</f>
        <v>0</v>
      </c>
      <c r="AB126" s="115">
        <f>IF(AB$122&lt;AB102,AB$122-SUM(AB$124:AB125),AB102-SUM(AB$100:AB101))</f>
        <v>0</v>
      </c>
      <c r="AC126" s="115">
        <f>IF(AC$122&lt;AC102,AC$122-SUM(AC$124:AC125),AC102-SUM(AC$100:AC101))</f>
        <v>0</v>
      </c>
      <c r="AD126" s="115">
        <f>IF(AD$122&lt;AD102,AD$122-SUM(AD$124:AD125),AD102-SUM(AD$100:AD101))</f>
        <v>0</v>
      </c>
      <c r="AE126" s="115">
        <f>IF(AE$122&lt;AE102,AE$122-SUM(AE$124:AE125),AE102-SUM(AE$100:AE101))</f>
        <v>0</v>
      </c>
      <c r="AF126" s="115">
        <f>IF(AF$122&lt;AF102,AF$122-SUM(AF$124:AF125),AF102-SUM(AF$100:AF101))</f>
        <v>0</v>
      </c>
      <c r="AG126" s="115">
        <f>IF(AG$122&lt;AG102,AG$122-SUM(AG$124:AG125),AG102-SUM(AG$100:AG101))</f>
        <v>0</v>
      </c>
      <c r="AH126" s="115">
        <f>IF(AH$122&lt;AH102,AH$122-SUM(AH$124:AH125),AH102-SUM(AH$100:AH101))</f>
        <v>0</v>
      </c>
      <c r="AI126" s="115">
        <f>IF(AI$122&lt;AI102,AI$122-SUM(AI$124:AI125),AI102-SUM(AI$100:AI101))</f>
        <v>0</v>
      </c>
      <c r="AJ126" s="115">
        <f>IF(AJ$122&lt;AJ102,AJ$122-SUM(AJ$124:AJ125),AJ102-SUM(AJ$100:AJ101))</f>
        <v>0</v>
      </c>
      <c r="AK126" s="115">
        <f>IF(AK$122&lt;AK102,AK$122-SUM(AK$124:AK125),AK102-SUM(AK$100:AK101))</f>
        <v>0</v>
      </c>
      <c r="AL126" s="115">
        <f>IF(AL$122&lt;AL102,AL$122-SUM(AL$124:AL125),AL102-SUM(AL$100:AL101))</f>
        <v>0</v>
      </c>
      <c r="AM126" s="115">
        <f>IF(AM$122&lt;AM102,AM$122-SUM(AM$124:AM125),AM102-SUM(AM$100:AM101))</f>
        <v>0</v>
      </c>
      <c r="AN126" s="115">
        <f>IF(AN$122&lt;AN102,AN$122-SUM(AN$124:AN125),AN102-SUM(AN$100:AN101))</f>
        <v>0</v>
      </c>
      <c r="AO126" s="115">
        <f>IF(AO$122&lt;AO102,AO$122-SUM(AO$124:AO125),AO102-SUM(AO$100:AO101))</f>
        <v>0</v>
      </c>
      <c r="AP126" s="115">
        <f>IF(AP$122&lt;AP102,AP$122-SUM(AP$124:AP125),AP102-SUM(AP$100:AP101))</f>
        <v>0</v>
      </c>
      <c r="AQ126" s="115">
        <f>IF(AQ$122&lt;AQ102,AQ$122-SUM(AQ$124:AQ125),AQ102-SUM(AQ$100:AQ101))</f>
        <v>0</v>
      </c>
      <c r="AR126" s="115">
        <f>IF(AR$122&lt;AR102,AR$122-SUM(AR$124:AR125),AR102-SUM(AR$100:AR101))</f>
        <v>0</v>
      </c>
      <c r="AS126" s="115">
        <f>IF(AS$122&lt;AS102,AS$122-SUM(AS$124:AS125),AS102-SUM(AS$100:AS101))</f>
        <v>0</v>
      </c>
      <c r="AT126" s="115">
        <f>IF(AT$122&lt;AT102,AT$122-SUM(AT$124:AT125),AT102-SUM(AT$100:AT101))</f>
        <v>0</v>
      </c>
      <c r="AU126" s="115">
        <f>IF(AU$122&lt;AU102,AU$122-SUM(AU$124:AU125),AU102-SUM(AU$100:AU101))</f>
        <v>0</v>
      </c>
      <c r="AV126" s="115">
        <f>IF(AV$122&lt;AV102,AV$122-SUM(AV$124:AV125),AV102-SUM(AV$100:AV101))</f>
        <v>0</v>
      </c>
      <c r="AW126" s="115">
        <f>IF(AW$122&lt;AW102,AW$122-SUM(AW$124:AW125),AW102-SUM(AW$100:AW101))</f>
        <v>0</v>
      </c>
      <c r="AX126" s="115">
        <f>IF(AX$122&lt;AX102,AX$122-SUM(AX$124:AX125),AX102-SUM(AX$100:AX101))</f>
        <v>0</v>
      </c>
      <c r="AY126" s="115">
        <f>IF(AY$122&lt;AY102,AY$122-SUM(AY$124:AY125),AY102-SUM(AY$100:AY101))</f>
        <v>0</v>
      </c>
      <c r="AZ126" s="115">
        <f>IF(AZ$122&lt;AZ102,AZ$122-SUM(AZ$124:AZ125),AZ102-SUM(AZ$100:AZ101))</f>
        <v>0</v>
      </c>
      <c r="BA126" s="115">
        <f>IF(BA$122&lt;BA102,BA$122-SUM(BA$124:BA125),BA102-SUM(BA$100:BA101))</f>
        <v>0</v>
      </c>
    </row>
    <row r="127" spans="2:53" ht="15">
      <c r="B127" s="172" t="s">
        <v>173</v>
      </c>
      <c r="C127" s="115">
        <f>IF(C$122&lt;C103,C$122-SUM(C$124:C126),C103-SUM(C$100:C102))</f>
        <v>0</v>
      </c>
      <c r="D127" s="115">
        <f>IF(D$122&lt;D103,D$122-SUM(D$124:D126),D103-SUM(D$100:D102))</f>
        <v>0</v>
      </c>
      <c r="E127" s="115">
        <f>IF(E$122&lt;E103,E$122-SUM(E$124:E126),E103-SUM(E$100:E102))</f>
        <v>0</v>
      </c>
      <c r="F127" s="115">
        <f>IF(F$122&lt;F103,F$122-SUM(F$124:F126),F103-SUM(F$100:F102))</f>
        <v>0</v>
      </c>
      <c r="G127" s="115">
        <f>IF(G$122&lt;G103,G$122-SUM(G$124:G126),G103-SUM(G$100:G102))</f>
        <v>0</v>
      </c>
      <c r="H127" s="115">
        <f>IF(H$122&lt;H103,H$122-SUM(H$124:H126),H103-SUM(H$100:H102))</f>
        <v>0</v>
      </c>
      <c r="I127" s="115">
        <f>IF(I$122&lt;I103,I$122-SUM(I$124:I126),I103-SUM(I$100:I102))</f>
        <v>0</v>
      </c>
      <c r="J127" s="115">
        <f>IF(J$122&lt;J103,J$122-SUM(J$124:J126),J103-SUM(J$100:J102))</f>
        <v>0</v>
      </c>
      <c r="K127" s="115">
        <f>IF(K$122&lt;K103,K$122-SUM(K$124:K126),K103-SUM(K$100:K102))</f>
        <v>0</v>
      </c>
      <c r="L127" s="115">
        <f>IF(L$122&lt;L103,L$122-SUM(L$124:L126),L103-SUM(L$100:L102))</f>
        <v>0</v>
      </c>
      <c r="M127" s="115">
        <f>IF(M$122&lt;M103,M$122-SUM(M$124:M126),M103-SUM(M$100:M102))</f>
        <v>0</v>
      </c>
      <c r="N127" s="115">
        <f>IF(N$122&lt;N103,N$122-SUM(N$124:N126),N103-SUM(N$100:N102))</f>
        <v>0</v>
      </c>
      <c r="O127" s="115">
        <f>IF(O$122&lt;O103,O$122-SUM(O$124:O126),O103-SUM(O$100:O102))</f>
        <v>0</v>
      </c>
      <c r="P127" s="115">
        <f>IF(P$122&lt;P103,P$122-SUM(P$124:P126),P103-SUM(P$100:P102))</f>
        <v>0</v>
      </c>
      <c r="Q127" s="115">
        <f>IF(Q$122&lt;Q103,Q$122-SUM(Q$124:Q126),Q103-SUM(Q$100:Q102))</f>
        <v>0</v>
      </c>
      <c r="R127" s="115">
        <f>IF(R$122&lt;R103,R$122-SUM(R$124:R126),R103-SUM(R$100:R102))</f>
        <v>0</v>
      </c>
      <c r="S127" s="115">
        <f>IF(S$122&lt;S103,S$122-SUM(S$124:S126),S103-SUM(S$100:S102))</f>
        <v>0</v>
      </c>
      <c r="T127" s="115">
        <f>IF(T$122&lt;T103,T$122-SUM(T$124:T126),T103-SUM(T$100:T102))</f>
        <v>0</v>
      </c>
      <c r="U127" s="115">
        <f>IF(U$122&lt;U103,U$122-SUM(U$124:U126),U103-SUM(U$100:U102))</f>
        <v>0</v>
      </c>
      <c r="V127" s="115">
        <f>IF(V$122&lt;V103,V$122-SUM(V$124:V126),V103-SUM(V$100:V102))</f>
        <v>0</v>
      </c>
      <c r="W127" s="115">
        <f>IF(W$122&lt;W103,W$122-SUM(W$124:W126),W103-SUM(W$100:W102))</f>
        <v>0</v>
      </c>
      <c r="X127" s="115">
        <f>IF(X$122&lt;X103,X$122-SUM(X$124:X126),X103-SUM(X$100:X102))</f>
        <v>0</v>
      </c>
      <c r="Y127" s="115">
        <f>IF(Y$122&lt;Y103,Y$122-SUM(Y$124:Y126),Y103-SUM(Y$100:Y102))</f>
        <v>0</v>
      </c>
      <c r="Z127" s="115">
        <f>IF(Z$122&lt;Z103,Z$122-SUM(Z$124:Z126),Z103-SUM(Z$100:Z102))</f>
        <v>0</v>
      </c>
      <c r="AA127" s="115">
        <f>IF(AA$122&lt;AA103,AA$122-SUM(AA$124:AA126),AA103-SUM(AA$100:AA102))</f>
        <v>0</v>
      </c>
      <c r="AB127" s="115">
        <f>IF(AB$122&lt;AB103,AB$122-SUM(AB$124:AB126),AB103-SUM(AB$100:AB102))</f>
        <v>0</v>
      </c>
      <c r="AC127" s="115">
        <f>IF(AC$122&lt;AC103,AC$122-SUM(AC$124:AC126),AC103-SUM(AC$100:AC102))</f>
        <v>0</v>
      </c>
      <c r="AD127" s="115">
        <f>IF(AD$122&lt;AD103,AD$122-SUM(AD$124:AD126),AD103-SUM(AD$100:AD102))</f>
        <v>0</v>
      </c>
      <c r="AE127" s="115">
        <f>IF(AE$122&lt;AE103,AE$122-SUM(AE$124:AE126),AE103-SUM(AE$100:AE102))</f>
        <v>0</v>
      </c>
      <c r="AF127" s="115">
        <f>IF(AF$122&lt;AF103,AF$122-SUM(AF$124:AF126),AF103-SUM(AF$100:AF102))</f>
        <v>0</v>
      </c>
      <c r="AG127" s="115">
        <f>IF(AG$122&lt;AG103,AG$122-SUM(AG$124:AG126),AG103-SUM(AG$100:AG102))</f>
        <v>0</v>
      </c>
      <c r="AH127" s="115">
        <f>IF(AH$122&lt;AH103,AH$122-SUM(AH$124:AH126),AH103-SUM(AH$100:AH102))</f>
        <v>0</v>
      </c>
      <c r="AI127" s="115">
        <f>IF(AI$122&lt;AI103,AI$122-SUM(AI$124:AI126),AI103-SUM(AI$100:AI102))</f>
        <v>0</v>
      </c>
      <c r="AJ127" s="115">
        <f>IF(AJ$122&lt;AJ103,AJ$122-SUM(AJ$124:AJ126),AJ103-SUM(AJ$100:AJ102))</f>
        <v>0</v>
      </c>
      <c r="AK127" s="115">
        <f>IF(AK$122&lt;AK103,AK$122-SUM(AK$124:AK126),AK103-SUM(AK$100:AK102))</f>
        <v>0</v>
      </c>
      <c r="AL127" s="115">
        <f>IF(AL$122&lt;AL103,AL$122-SUM(AL$124:AL126),AL103-SUM(AL$100:AL102))</f>
        <v>0</v>
      </c>
      <c r="AM127" s="115">
        <f>IF(AM$122&lt;AM103,AM$122-SUM(AM$124:AM126),AM103-SUM(AM$100:AM102))</f>
        <v>0</v>
      </c>
      <c r="AN127" s="115">
        <f>IF(AN$122&lt;AN103,AN$122-SUM(AN$124:AN126),AN103-SUM(AN$100:AN102))</f>
        <v>0</v>
      </c>
      <c r="AO127" s="115">
        <f>IF(AO$122&lt;AO103,AO$122-SUM(AO$124:AO126),AO103-SUM(AO$100:AO102))</f>
        <v>0</v>
      </c>
      <c r="AP127" s="115">
        <f>IF(AP$122&lt;AP103,AP$122-SUM(AP$124:AP126),AP103-SUM(AP$100:AP102))</f>
        <v>0</v>
      </c>
      <c r="AQ127" s="115">
        <f>IF(AQ$122&lt;AQ103,AQ$122-SUM(AQ$124:AQ126),AQ103-SUM(AQ$100:AQ102))</f>
        <v>0</v>
      </c>
      <c r="AR127" s="115">
        <f>IF(AR$122&lt;AR103,AR$122-SUM(AR$124:AR126),AR103-SUM(AR$100:AR102))</f>
        <v>0</v>
      </c>
      <c r="AS127" s="115">
        <f>IF(AS$122&lt;AS103,AS$122-SUM(AS$124:AS126),AS103-SUM(AS$100:AS102))</f>
        <v>0</v>
      </c>
      <c r="AT127" s="115">
        <f>IF(AT$122&lt;AT103,AT$122-SUM(AT$124:AT126),AT103-SUM(AT$100:AT102))</f>
        <v>0</v>
      </c>
      <c r="AU127" s="115">
        <f>IF(AU$122&lt;AU103,AU$122-SUM(AU$124:AU126),AU103-SUM(AU$100:AU102))</f>
        <v>0</v>
      </c>
      <c r="AV127" s="115">
        <f>IF(AV$122&lt;AV103,AV$122-SUM(AV$124:AV126),AV103-SUM(AV$100:AV102))</f>
        <v>0</v>
      </c>
      <c r="AW127" s="115">
        <f>IF(AW$122&lt;AW103,AW$122-SUM(AW$124:AW126),AW103-SUM(AW$100:AW102))</f>
        <v>0</v>
      </c>
      <c r="AX127" s="115">
        <f>IF(AX$122&lt;AX103,AX$122-SUM(AX$124:AX126),AX103-SUM(AX$100:AX102))</f>
        <v>0</v>
      </c>
      <c r="AY127" s="115">
        <f>IF(AY$122&lt;AY103,AY$122-SUM(AY$124:AY126),AY103-SUM(AY$100:AY102))</f>
        <v>0</v>
      </c>
      <c r="AZ127" s="115">
        <f>IF(AZ$122&lt;AZ103,AZ$122-SUM(AZ$124:AZ126),AZ103-SUM(AZ$100:AZ102))</f>
        <v>0</v>
      </c>
      <c r="BA127" s="115">
        <f>IF(BA$122&lt;BA103,BA$122-SUM(BA$124:BA126),BA103-SUM(BA$100:BA102))</f>
        <v>0</v>
      </c>
    </row>
    <row r="128" spans="2:53" ht="15">
      <c r="B128" s="172" t="s">
        <v>174</v>
      </c>
      <c r="C128" s="115">
        <f>IF(C$122&lt;C104,C$122-SUM(C$124:C127),C104-SUM(C$100:C103))</f>
        <v>0</v>
      </c>
      <c r="D128" s="115">
        <f>IF(D$122&lt;D104,D$122-SUM(D$124:D127),D104-SUM(D$100:D103))</f>
        <v>0</v>
      </c>
      <c r="E128" s="115">
        <f>IF(E$122&lt;E104,E$122-SUM(E$124:E127),E104-SUM(E$100:E103))</f>
        <v>0</v>
      </c>
      <c r="F128" s="115">
        <f>IF(F$122&lt;F104,F$122-SUM(F$124:F127),F104-SUM(F$100:F103))</f>
        <v>0</v>
      </c>
      <c r="G128" s="115">
        <f>IF(G$122&lt;G104,G$122-SUM(G$124:G127),G104-SUM(G$100:G103))</f>
        <v>0</v>
      </c>
      <c r="H128" s="115">
        <f>IF(H$122&lt;H104,H$122-SUM(H$124:H127),H104-SUM(H$100:H103))</f>
        <v>0</v>
      </c>
      <c r="I128" s="115">
        <f>IF(I$122&lt;I104,I$122-SUM(I$124:I127),I104-SUM(I$100:I103))</f>
        <v>0</v>
      </c>
      <c r="J128" s="115">
        <f>IF(J$122&lt;J104,J$122-SUM(J$124:J127),J104-SUM(J$100:J103))</f>
        <v>0</v>
      </c>
      <c r="K128" s="115">
        <f>IF(K$122&lt;K104,K$122-SUM(K$124:K127),K104-SUM(K$100:K103))</f>
        <v>0</v>
      </c>
      <c r="L128" s="115">
        <f>IF(L$122&lt;L104,L$122-SUM(L$124:L127),L104-SUM(L$100:L103))</f>
        <v>0</v>
      </c>
      <c r="M128" s="115">
        <f>IF(M$122&lt;M104,M$122-SUM(M$124:M127),M104-SUM(M$100:M103))</f>
        <v>0</v>
      </c>
      <c r="N128" s="115">
        <f>IF(N$122&lt;N104,N$122-SUM(N$124:N127),N104-SUM(N$100:N103))</f>
        <v>0</v>
      </c>
      <c r="O128" s="115">
        <f>IF(O$122&lt;O104,O$122-SUM(O$124:O127),O104-SUM(O$100:O103))</f>
        <v>0</v>
      </c>
      <c r="P128" s="115">
        <f>IF(P$122&lt;P104,P$122-SUM(P$124:P127),P104-SUM(P$100:P103))</f>
        <v>0</v>
      </c>
      <c r="Q128" s="115">
        <f>IF(Q$122&lt;Q104,Q$122-SUM(Q$124:Q127),Q104-SUM(Q$100:Q103))</f>
        <v>0</v>
      </c>
      <c r="R128" s="115">
        <f>IF(R$122&lt;R104,R$122-SUM(R$124:R127),R104-SUM(R$100:R103))</f>
        <v>0</v>
      </c>
      <c r="S128" s="115">
        <f>IF(S$122&lt;S104,S$122-SUM(S$124:S127),S104-SUM(S$100:S103))</f>
        <v>0</v>
      </c>
      <c r="T128" s="115">
        <f>IF(T$122&lt;T104,T$122-SUM(T$124:T127),T104-SUM(T$100:T103))</f>
        <v>0</v>
      </c>
      <c r="U128" s="115">
        <f>IF(U$122&lt;U104,U$122-SUM(U$124:U127),U104-SUM(U$100:U103))</f>
        <v>0</v>
      </c>
      <c r="V128" s="115">
        <f>IF(V$122&lt;V104,V$122-SUM(V$124:V127),V104-SUM(V$100:V103))</f>
        <v>0</v>
      </c>
      <c r="W128" s="115">
        <f>IF(W$122&lt;W104,W$122-SUM(W$124:W127),W104-SUM(W$100:W103))</f>
        <v>0</v>
      </c>
      <c r="X128" s="115">
        <f>IF(X$122&lt;X104,X$122-SUM(X$124:X127),X104-SUM(X$100:X103))</f>
        <v>0</v>
      </c>
      <c r="Y128" s="115">
        <f>IF(Y$122&lt;Y104,Y$122-SUM(Y$124:Y127),Y104-SUM(Y$100:Y103))</f>
        <v>0</v>
      </c>
      <c r="Z128" s="115">
        <f>IF(Z$122&lt;Z104,Z$122-SUM(Z$124:Z127),Z104-SUM(Z$100:Z103))</f>
        <v>0</v>
      </c>
      <c r="AA128" s="115">
        <f>IF(AA$122&lt;AA104,AA$122-SUM(AA$124:AA127),AA104-SUM(AA$100:AA103))</f>
        <v>0</v>
      </c>
      <c r="AB128" s="115">
        <f>IF(AB$122&lt;AB104,AB$122-SUM(AB$124:AB127),AB104-SUM(AB$100:AB103))</f>
        <v>0</v>
      </c>
      <c r="AC128" s="115">
        <f>IF(AC$122&lt;AC104,AC$122-SUM(AC$124:AC127),AC104-SUM(AC$100:AC103))</f>
        <v>0</v>
      </c>
      <c r="AD128" s="115">
        <f>IF(AD$122&lt;AD104,AD$122-SUM(AD$124:AD127),AD104-SUM(AD$100:AD103))</f>
        <v>0</v>
      </c>
      <c r="AE128" s="115">
        <f>IF(AE$122&lt;AE104,AE$122-SUM(AE$124:AE127),AE104-SUM(AE$100:AE103))</f>
        <v>0</v>
      </c>
      <c r="AF128" s="115">
        <f>IF(AF$122&lt;AF104,AF$122-SUM(AF$124:AF127),AF104-SUM(AF$100:AF103))</f>
        <v>0</v>
      </c>
      <c r="AG128" s="115">
        <f>IF(AG$122&lt;AG104,AG$122-SUM(AG$124:AG127),AG104-SUM(AG$100:AG103))</f>
        <v>0</v>
      </c>
      <c r="AH128" s="115">
        <f>IF(AH$122&lt;AH104,AH$122-SUM(AH$124:AH127),AH104-SUM(AH$100:AH103))</f>
        <v>0</v>
      </c>
      <c r="AI128" s="115">
        <f>IF(AI$122&lt;AI104,AI$122-SUM(AI$124:AI127),AI104-SUM(AI$100:AI103))</f>
        <v>0</v>
      </c>
      <c r="AJ128" s="115">
        <f>IF(AJ$122&lt;AJ104,AJ$122-SUM(AJ$124:AJ127),AJ104-SUM(AJ$100:AJ103))</f>
        <v>0</v>
      </c>
      <c r="AK128" s="115">
        <f>IF(AK$122&lt;AK104,AK$122-SUM(AK$124:AK127),AK104-SUM(AK$100:AK103))</f>
        <v>0</v>
      </c>
      <c r="AL128" s="115">
        <f>IF(AL$122&lt;AL104,AL$122-SUM(AL$124:AL127),AL104-SUM(AL$100:AL103))</f>
        <v>0</v>
      </c>
      <c r="AM128" s="115">
        <f>IF(AM$122&lt;AM104,AM$122-SUM(AM$124:AM127),AM104-SUM(AM$100:AM103))</f>
        <v>0</v>
      </c>
      <c r="AN128" s="115">
        <f>IF(AN$122&lt;AN104,AN$122-SUM(AN$124:AN127),AN104-SUM(AN$100:AN103))</f>
        <v>0</v>
      </c>
      <c r="AO128" s="115">
        <f>IF(AO$122&lt;AO104,AO$122-SUM(AO$124:AO127),AO104-SUM(AO$100:AO103))</f>
        <v>0</v>
      </c>
      <c r="AP128" s="115">
        <f>IF(AP$122&lt;AP104,AP$122-SUM(AP$124:AP127),AP104-SUM(AP$100:AP103))</f>
        <v>0</v>
      </c>
      <c r="AQ128" s="115">
        <f>IF(AQ$122&lt;AQ104,AQ$122-SUM(AQ$124:AQ127),AQ104-SUM(AQ$100:AQ103))</f>
        <v>0</v>
      </c>
      <c r="AR128" s="115">
        <f>IF(AR$122&lt;AR104,AR$122-SUM(AR$124:AR127),AR104-SUM(AR$100:AR103))</f>
        <v>0</v>
      </c>
      <c r="AS128" s="115">
        <f>IF(AS$122&lt;AS104,AS$122-SUM(AS$124:AS127),AS104-SUM(AS$100:AS103))</f>
        <v>0</v>
      </c>
      <c r="AT128" s="115">
        <f>IF(AT$122&lt;AT104,AT$122-SUM(AT$124:AT127),AT104-SUM(AT$100:AT103))</f>
        <v>0</v>
      </c>
      <c r="AU128" s="115">
        <f>IF(AU$122&lt;AU104,AU$122-SUM(AU$124:AU127),AU104-SUM(AU$100:AU103))</f>
        <v>0</v>
      </c>
      <c r="AV128" s="115">
        <f>IF(AV$122&lt;AV104,AV$122-SUM(AV$124:AV127),AV104-SUM(AV$100:AV103))</f>
        <v>0</v>
      </c>
      <c r="AW128" s="115">
        <f>IF(AW$122&lt;AW104,AW$122-SUM(AW$124:AW127),AW104-SUM(AW$100:AW103))</f>
        <v>0</v>
      </c>
      <c r="AX128" s="115">
        <f>IF(AX$122&lt;AX104,AX$122-SUM(AX$124:AX127),AX104-SUM(AX$100:AX103))</f>
        <v>0</v>
      </c>
      <c r="AY128" s="115">
        <f>IF(AY$122&lt;AY104,AY$122-SUM(AY$124:AY127),AY104-SUM(AY$100:AY103))</f>
        <v>0</v>
      </c>
      <c r="AZ128" s="115">
        <f>IF(AZ$122&lt;AZ104,AZ$122-SUM(AZ$124:AZ127),AZ104-SUM(AZ$100:AZ103))</f>
        <v>0</v>
      </c>
      <c r="BA128" s="115">
        <f>IF(BA$122&lt;BA104,BA$122-SUM(BA$124:BA127),BA104-SUM(BA$100:BA103))</f>
        <v>0</v>
      </c>
    </row>
    <row r="129" spans="2:53" ht="15">
      <c r="B129" s="172" t="s">
        <v>175</v>
      </c>
      <c r="C129" s="115">
        <f>IF(C$122&lt;C105,C$122-SUM(C$124:C128),C105-SUM(C$100:C104))</f>
        <v>0</v>
      </c>
      <c r="D129" s="115">
        <f>IF(D$122&lt;D105,D$122-SUM(D$124:D128),D105-SUM(D$100:D104))</f>
        <v>0</v>
      </c>
      <c r="E129" s="115">
        <f>IF(E$122&lt;E105,E$122-SUM(E$124:E128),E105-SUM(E$100:E104))</f>
        <v>0</v>
      </c>
      <c r="F129" s="115">
        <f>IF(F$122&lt;F105,F$122-SUM(F$124:F128),F105-SUM(F$100:F104))</f>
        <v>0</v>
      </c>
      <c r="G129" s="115">
        <f>IF(G$122&lt;G105,G$122-SUM(G$124:G128),G105-SUM(G$100:G104))</f>
        <v>0</v>
      </c>
      <c r="H129" s="115">
        <f>IF(H$122&lt;H105,H$122-SUM(H$124:H128),H105-SUM(H$100:H104))</f>
        <v>0</v>
      </c>
      <c r="I129" s="115">
        <f>IF(I$122&lt;I105,I$122-SUM(I$124:I128),I105-SUM(I$100:I104))</f>
        <v>0</v>
      </c>
      <c r="J129" s="115">
        <f>IF(J$122&lt;J105,J$122-SUM(J$124:J128),J105-SUM(J$100:J104))</f>
        <v>0</v>
      </c>
      <c r="K129" s="115">
        <f>IF(K$122&lt;K105,K$122-SUM(K$124:K128),K105-SUM(K$100:K104))</f>
        <v>0</v>
      </c>
      <c r="L129" s="115">
        <f>IF(L$122&lt;L105,L$122-SUM(L$124:L128),L105-SUM(L$100:L104))</f>
        <v>0</v>
      </c>
      <c r="M129" s="115">
        <f>IF(M$122&lt;M105,M$122-SUM(M$124:M128),M105-SUM(M$100:M104))</f>
        <v>0</v>
      </c>
      <c r="N129" s="115">
        <f>IF(N$122&lt;N105,N$122-SUM(N$124:N128),N105-SUM(N$100:N104))</f>
        <v>0</v>
      </c>
      <c r="O129" s="115">
        <f>IF(O$122&lt;O105,O$122-SUM(O$124:O128),O105-SUM(O$100:O104))</f>
        <v>0</v>
      </c>
      <c r="P129" s="115">
        <f>IF(P$122&lt;P105,P$122-SUM(P$124:P128),P105-SUM(P$100:P104))</f>
        <v>0</v>
      </c>
      <c r="Q129" s="115">
        <f>IF(Q$122&lt;Q105,Q$122-SUM(Q$124:Q128),Q105-SUM(Q$100:Q104))</f>
        <v>0</v>
      </c>
      <c r="R129" s="115">
        <f>IF(R$122&lt;R105,R$122-SUM(R$124:R128),R105-SUM(R$100:R104))</f>
        <v>0</v>
      </c>
      <c r="S129" s="115">
        <f>IF(S$122&lt;S105,S$122-SUM(S$124:S128),S105-SUM(S$100:S104))</f>
        <v>0</v>
      </c>
      <c r="T129" s="115">
        <f>IF(T$122&lt;T105,T$122-SUM(T$124:T128),T105-SUM(T$100:T104))</f>
        <v>0</v>
      </c>
      <c r="U129" s="115">
        <f>IF(U$122&lt;U105,U$122-SUM(U$124:U128),U105-SUM(U$100:U104))</f>
        <v>0</v>
      </c>
      <c r="V129" s="115">
        <f>IF(V$122&lt;V105,V$122-SUM(V$124:V128),V105-SUM(V$100:V104))</f>
        <v>0</v>
      </c>
      <c r="W129" s="115">
        <f>IF(W$122&lt;W105,W$122-SUM(W$124:W128),W105-SUM(W$100:W104))</f>
        <v>0</v>
      </c>
      <c r="X129" s="115">
        <f>IF(X$122&lt;X105,X$122-SUM(X$124:X128),X105-SUM(X$100:X104))</f>
        <v>0</v>
      </c>
      <c r="Y129" s="115">
        <f>IF(Y$122&lt;Y105,Y$122-SUM(Y$124:Y128),Y105-SUM(Y$100:Y104))</f>
        <v>0</v>
      </c>
      <c r="Z129" s="115">
        <f>IF(Z$122&lt;Z105,Z$122-SUM(Z$124:Z128),Z105-SUM(Z$100:Z104))</f>
        <v>0</v>
      </c>
      <c r="AA129" s="115">
        <f>IF(AA$122&lt;AA105,AA$122-SUM(AA$124:AA128),AA105-SUM(AA$100:AA104))</f>
        <v>0</v>
      </c>
      <c r="AB129" s="115">
        <f>IF(AB$122&lt;AB105,AB$122-SUM(AB$124:AB128),AB105-SUM(AB$100:AB104))</f>
        <v>0</v>
      </c>
      <c r="AC129" s="115">
        <f>IF(AC$122&lt;AC105,AC$122-SUM(AC$124:AC128),AC105-SUM(AC$100:AC104))</f>
        <v>0</v>
      </c>
      <c r="AD129" s="115">
        <f>IF(AD$122&lt;AD105,AD$122-SUM(AD$124:AD128),AD105-SUM(AD$100:AD104))</f>
        <v>0</v>
      </c>
      <c r="AE129" s="115">
        <f>IF(AE$122&lt;AE105,AE$122-SUM(AE$124:AE128),AE105-SUM(AE$100:AE104))</f>
        <v>0</v>
      </c>
      <c r="AF129" s="115">
        <f>IF(AF$122&lt;AF105,AF$122-SUM(AF$124:AF128),AF105-SUM(AF$100:AF104))</f>
        <v>0</v>
      </c>
      <c r="AG129" s="115">
        <f>IF(AG$122&lt;AG105,AG$122-SUM(AG$124:AG128),AG105-SUM(AG$100:AG104))</f>
        <v>0</v>
      </c>
      <c r="AH129" s="115">
        <f>IF(AH$122&lt;AH105,AH$122-SUM(AH$124:AH128),AH105-SUM(AH$100:AH104))</f>
        <v>0</v>
      </c>
      <c r="AI129" s="115">
        <f>IF(AI$122&lt;AI105,AI$122-SUM(AI$124:AI128),AI105-SUM(AI$100:AI104))</f>
        <v>0</v>
      </c>
      <c r="AJ129" s="115">
        <f>IF(AJ$122&lt;AJ105,AJ$122-SUM(AJ$124:AJ128),AJ105-SUM(AJ$100:AJ104))</f>
        <v>0</v>
      </c>
      <c r="AK129" s="115">
        <f>IF(AK$122&lt;AK105,AK$122-SUM(AK$124:AK128),AK105-SUM(AK$100:AK104))</f>
        <v>0</v>
      </c>
      <c r="AL129" s="115">
        <f>IF(AL$122&lt;AL105,AL$122-SUM(AL$124:AL128),AL105-SUM(AL$100:AL104))</f>
        <v>0</v>
      </c>
      <c r="AM129" s="115">
        <f>IF(AM$122&lt;AM105,AM$122-SUM(AM$124:AM128),AM105-SUM(AM$100:AM104))</f>
        <v>0</v>
      </c>
      <c r="AN129" s="115">
        <f>IF(AN$122&lt;AN105,AN$122-SUM(AN$124:AN128),AN105-SUM(AN$100:AN104))</f>
        <v>0</v>
      </c>
      <c r="AO129" s="115">
        <f>IF(AO$122&lt;AO105,AO$122-SUM(AO$124:AO128),AO105-SUM(AO$100:AO104))</f>
        <v>0</v>
      </c>
      <c r="AP129" s="115">
        <f>IF(AP$122&lt;AP105,AP$122-SUM(AP$124:AP128),AP105-SUM(AP$100:AP104))</f>
        <v>0</v>
      </c>
      <c r="AQ129" s="115">
        <f>IF(AQ$122&lt;AQ105,AQ$122-SUM(AQ$124:AQ128),AQ105-SUM(AQ$100:AQ104))</f>
        <v>0</v>
      </c>
      <c r="AR129" s="115">
        <f>IF(AR$122&lt;AR105,AR$122-SUM(AR$124:AR128),AR105-SUM(AR$100:AR104))</f>
        <v>0</v>
      </c>
      <c r="AS129" s="115">
        <f>IF(AS$122&lt;AS105,AS$122-SUM(AS$124:AS128),AS105-SUM(AS$100:AS104))</f>
        <v>0</v>
      </c>
      <c r="AT129" s="115">
        <f>IF(AT$122&lt;AT105,AT$122-SUM(AT$124:AT128),AT105-SUM(AT$100:AT104))</f>
        <v>0</v>
      </c>
      <c r="AU129" s="115">
        <f>IF(AU$122&lt;AU105,AU$122-SUM(AU$124:AU128),AU105-SUM(AU$100:AU104))</f>
        <v>0</v>
      </c>
      <c r="AV129" s="115">
        <f>IF(AV$122&lt;AV105,AV$122-SUM(AV$124:AV128),AV105-SUM(AV$100:AV104))</f>
        <v>0</v>
      </c>
      <c r="AW129" s="115">
        <f>IF(AW$122&lt;AW105,AW$122-SUM(AW$124:AW128),AW105-SUM(AW$100:AW104))</f>
        <v>0</v>
      </c>
      <c r="AX129" s="115">
        <f>IF(AX$122&lt;AX105,AX$122-SUM(AX$124:AX128),AX105-SUM(AX$100:AX104))</f>
        <v>0</v>
      </c>
      <c r="AY129" s="115">
        <f>IF(AY$122&lt;AY105,AY$122-SUM(AY$124:AY128),AY105-SUM(AY$100:AY104))</f>
        <v>0</v>
      </c>
      <c r="AZ129" s="115">
        <f>IF(AZ$122&lt;AZ105,AZ$122-SUM(AZ$124:AZ128),AZ105-SUM(AZ$100:AZ104))</f>
        <v>0</v>
      </c>
      <c r="BA129" s="115">
        <f>IF(BA$122&lt;BA105,BA$122-SUM(BA$124:BA128),BA105-SUM(BA$100:BA104))</f>
        <v>0</v>
      </c>
    </row>
    <row r="130" spans="2:53" ht="15">
      <c r="B130" s="172" t="s">
        <v>239</v>
      </c>
      <c r="C130" s="115">
        <f>IF(C$122&gt;C105,C$122-SUM(C$124:C129),0)</f>
        <v>0</v>
      </c>
      <c r="D130" s="115">
        <f>IF(D$122&gt;D105,D$122-SUM(D$124:D129),0)</f>
        <v>0</v>
      </c>
      <c r="E130" s="115">
        <f>IF(E$122&gt;E105,E$122-SUM(E$124:E129),0)</f>
        <v>0</v>
      </c>
      <c r="F130" s="115">
        <f>IF(F$122&gt;F105,F$122-SUM(F$124:F129),0)</f>
        <v>0</v>
      </c>
      <c r="G130" s="115">
        <f>IF(G$122&gt;G105,G$122-SUM(G$124:G129),0)</f>
        <v>0</v>
      </c>
      <c r="H130" s="115">
        <f>IF(H$122&gt;H105,H$122-SUM(H$124:H129),0)</f>
        <v>0</v>
      </c>
      <c r="I130" s="115">
        <f>IF(I$122&gt;I105,I$122-SUM(I$124:I129),0)</f>
        <v>0</v>
      </c>
      <c r="J130" s="115">
        <f>IF(J$122&gt;J105,J$122-SUM(J$124:J129),0)</f>
        <v>0</v>
      </c>
      <c r="K130" s="115">
        <f>IF(K$122&gt;K105,K$122-SUM(K$124:K129),0)</f>
        <v>0</v>
      </c>
      <c r="L130" s="115">
        <f>IF(L$122&gt;L105,L$122-SUM(L$124:L129),0)</f>
        <v>0</v>
      </c>
      <c r="M130" s="115">
        <f>IF(M$122&gt;M105,M$122-SUM(M$124:M129),0)</f>
        <v>0</v>
      </c>
      <c r="N130" s="115">
        <f>IF(N$122&gt;N105,N$122-SUM(N$124:N129),0)</f>
        <v>0</v>
      </c>
      <c r="O130" s="115">
        <f>IF(O$122&gt;O105,O$122-SUM(O$124:O129),0)</f>
        <v>0</v>
      </c>
      <c r="P130" s="115">
        <f>IF(P$122&gt;P105,P$122-SUM(P$124:P129),0)</f>
        <v>0</v>
      </c>
      <c r="Q130" s="115">
        <f>IF(Q$122&gt;Q105,Q$122-SUM(Q$124:Q129),0)</f>
        <v>0</v>
      </c>
      <c r="R130" s="115">
        <f>IF(R$122&gt;R105,R$122-SUM(R$124:R129),0)</f>
        <v>0</v>
      </c>
      <c r="S130" s="115">
        <f>IF(S$122&gt;S105,S$122-SUM(S$124:S129),0)</f>
        <v>0</v>
      </c>
      <c r="T130" s="115">
        <f>IF(T$122&gt;T105,T$122-SUM(T$124:T129),0)</f>
        <v>0</v>
      </c>
      <c r="U130" s="115">
        <f>IF(U$122&gt;U105,U$122-SUM(U$124:U129),0)</f>
        <v>0</v>
      </c>
      <c r="V130" s="115">
        <f>IF(V$122&gt;V105,V$122-SUM(V$124:V129),0)</f>
        <v>0</v>
      </c>
      <c r="W130" s="115">
        <f>IF(W$122&gt;W105,W$122-SUM(W$124:W129),0)</f>
        <v>0</v>
      </c>
      <c r="X130" s="115">
        <f>IF(X$122&gt;X105,X$122-SUM(X$124:X129),0)</f>
        <v>0</v>
      </c>
      <c r="Y130" s="115">
        <f>IF(Y$122&gt;Y105,Y$122-SUM(Y$124:Y129),0)</f>
        <v>0</v>
      </c>
      <c r="Z130" s="115">
        <f>IF(Z$122&gt;Z105,Z$122-SUM(Z$124:Z129),0)</f>
        <v>0</v>
      </c>
      <c r="AA130" s="115">
        <f>IF(AA$122&gt;AA105,AA$122-SUM(AA$124:AA129),0)</f>
        <v>0</v>
      </c>
      <c r="AB130" s="115">
        <f>IF(AB$122&gt;AB105,AB$122-SUM(AB$124:AB129),0)</f>
        <v>0</v>
      </c>
      <c r="AC130" s="115">
        <f>IF(AC$122&gt;AC105,AC$122-SUM(AC$124:AC129),0)</f>
        <v>0</v>
      </c>
      <c r="AD130" s="115">
        <f>IF(AD$122&gt;AD105,AD$122-SUM(AD$124:AD129),0)</f>
        <v>0</v>
      </c>
      <c r="AE130" s="115">
        <f>IF(AE$122&gt;AE105,AE$122-SUM(AE$124:AE129),0)</f>
        <v>0</v>
      </c>
      <c r="AF130" s="115">
        <f>IF(AF$122&gt;AF105,AF$122-SUM(AF$124:AF129),0)</f>
        <v>0</v>
      </c>
      <c r="AG130" s="115">
        <f>IF(AG$122&gt;AG105,AG$122-SUM(AG$124:AG129),0)</f>
        <v>0</v>
      </c>
      <c r="AH130" s="115">
        <f>IF(AH$122&gt;AH105,AH$122-SUM(AH$124:AH129),0)</f>
        <v>0</v>
      </c>
      <c r="AI130" s="115">
        <f>IF(AI$122&gt;AI105,AI$122-SUM(AI$124:AI129),0)</f>
        <v>0</v>
      </c>
      <c r="AJ130" s="115">
        <f>IF(AJ$122&gt;AJ105,AJ$122-SUM(AJ$124:AJ129),0)</f>
        <v>0</v>
      </c>
      <c r="AK130" s="115">
        <f>IF(AK$122&gt;AK105,AK$122-SUM(AK$124:AK129),0)</f>
        <v>0</v>
      </c>
      <c r="AL130" s="115">
        <f>IF(AL$122&gt;AL105,AL$122-SUM(AL$124:AL129),0)</f>
        <v>0</v>
      </c>
      <c r="AM130" s="115">
        <f>IF(AM$122&gt;AM105,AM$122-SUM(AM$124:AM129),0)</f>
        <v>0</v>
      </c>
      <c r="AN130" s="115">
        <f>IF(AN$122&gt;AN105,AN$122-SUM(AN$124:AN129),0)</f>
        <v>0</v>
      </c>
      <c r="AO130" s="115">
        <f>IF(AO$122&gt;AO105,AO$122-SUM(AO$124:AO129),0)</f>
        <v>0</v>
      </c>
      <c r="AP130" s="115">
        <f>IF(AP$122&gt;AP105,AP$122-SUM(AP$124:AP129),0)</f>
        <v>0</v>
      </c>
      <c r="AQ130" s="115">
        <f>IF(AQ$122&gt;AQ105,AQ$122-SUM(AQ$124:AQ129),0)</f>
        <v>0</v>
      </c>
      <c r="AR130" s="115">
        <f>IF(AR$122&gt;AR105,AR$122-SUM(AR$124:AR129),0)</f>
        <v>0</v>
      </c>
      <c r="AS130" s="115">
        <f>IF(AS$122&gt;AS105,AS$122-SUM(AS$124:AS129),0)</f>
        <v>0</v>
      </c>
      <c r="AT130" s="115">
        <f>IF(AT$122&gt;AT105,AT$122-SUM(AT$124:AT129),0)</f>
        <v>0</v>
      </c>
      <c r="AU130" s="115">
        <f>IF(AU$122&gt;AU105,AU$122-SUM(AU$124:AU129),0)</f>
        <v>0</v>
      </c>
      <c r="AV130" s="115">
        <f>IF(AV$122&gt;AV105,AV$122-SUM(AV$124:AV129),0)</f>
        <v>0</v>
      </c>
      <c r="AW130" s="115">
        <f>IF(AW$122&gt;AW105,AW$122-SUM(AW$124:AW129),0)</f>
        <v>0</v>
      </c>
      <c r="AX130" s="115">
        <f>IF(AX$122&gt;AX105,AX$122-SUM(AX$124:AX129),0)</f>
        <v>0</v>
      </c>
      <c r="AY130" s="115">
        <f>IF(AY$122&gt;AY105,AY$122-SUM(AY$124:AY129),0)</f>
        <v>0</v>
      </c>
      <c r="AZ130" s="115">
        <f>IF(AZ$122&gt;AZ105,AZ$122-SUM(AZ$124:AZ129),0)</f>
        <v>0</v>
      </c>
      <c r="BA130" s="115">
        <f>IF(BA$122&gt;BA105,BA$122-SUM(BA$124:BA129),0)</f>
        <v>0</v>
      </c>
    </row>
    <row r="132" spans="2:53" ht="15">
      <c r="B132" s="172" t="s">
        <v>244</v>
      </c>
      <c r="C132" s="173">
        <f>Modèle!C5</f>
        <v>23</v>
      </c>
      <c r="D132" s="173">
        <f>Modèle!D5</f>
        <v>24</v>
      </c>
      <c r="E132" s="173">
        <f>Modèle!E5</f>
        <v>25</v>
      </c>
      <c r="F132" s="173">
        <f>Modèle!F5</f>
        <v>26</v>
      </c>
      <c r="G132" s="173">
        <f>Modèle!G5</f>
        <v>27</v>
      </c>
      <c r="H132" s="173">
        <f>Modèle!H5</f>
        <v>28</v>
      </c>
      <c r="I132" s="173">
        <f>Modèle!I5</f>
        <v>29</v>
      </c>
      <c r="J132" s="173">
        <f>Modèle!J5</f>
        <v>30</v>
      </c>
      <c r="K132" s="173">
        <f>Modèle!K5</f>
        <v>31</v>
      </c>
      <c r="L132" s="173">
        <f>Modèle!L5</f>
        <v>32</v>
      </c>
      <c r="M132" s="173">
        <f>Modèle!M5</f>
        <v>33</v>
      </c>
      <c r="N132" s="173">
        <f>Modèle!N5</f>
        <v>34</v>
      </c>
      <c r="O132" s="173">
        <f>Modèle!O5</f>
        <v>35</v>
      </c>
      <c r="P132" s="173">
        <f>Modèle!P5</f>
        <v>36</v>
      </c>
      <c r="Q132" s="173">
        <f>Modèle!Q5</f>
        <v>37</v>
      </c>
      <c r="R132" s="173">
        <f>Modèle!R5</f>
        <v>38</v>
      </c>
      <c r="S132" s="173">
        <f>Modèle!S5</f>
        <v>39</v>
      </c>
      <c r="T132" s="173">
        <f>Modèle!T5</f>
        <v>40</v>
      </c>
      <c r="U132" s="173">
        <f>Modèle!U5</f>
        <v>41</v>
      </c>
      <c r="V132" s="173">
        <f>Modèle!V5</f>
        <v>42</v>
      </c>
      <c r="W132" s="173">
        <f>Modèle!W5</f>
        <v>43</v>
      </c>
      <c r="X132" s="173">
        <f>Modèle!X5</f>
        <v>44</v>
      </c>
      <c r="Y132" s="173">
        <f>Modèle!Y5</f>
        <v>45</v>
      </c>
      <c r="Z132" s="173">
        <f>Modèle!Z5</f>
        <v>46</v>
      </c>
      <c r="AA132" s="173">
        <f>Modèle!AA5</f>
        <v>47</v>
      </c>
      <c r="AB132" s="173">
        <f>Modèle!AB5</f>
        <v>48</v>
      </c>
      <c r="AC132" s="173">
        <f>Modèle!AC5</f>
        <v>49</v>
      </c>
      <c r="AD132" s="173">
        <f>Modèle!AD5</f>
        <v>50</v>
      </c>
      <c r="AE132" s="173">
        <f>Modèle!AE5</f>
        <v>51</v>
      </c>
      <c r="AF132" s="173">
        <f>Modèle!AF5</f>
        <v>52</v>
      </c>
      <c r="AG132" s="173">
        <f>Modèle!AG5</f>
        <v>53</v>
      </c>
      <c r="AH132" s="173">
        <f>Modèle!AH5</f>
        <v>54</v>
      </c>
      <c r="AI132" s="173">
        <f>Modèle!AI5</f>
        <v>55</v>
      </c>
      <c r="AJ132" s="173">
        <f>Modèle!AJ5</f>
        <v>56</v>
      </c>
      <c r="AK132" s="173">
        <f>Modèle!AK5</f>
        <v>57</v>
      </c>
      <c r="AL132" s="173">
        <f>Modèle!AL5</f>
        <v>58</v>
      </c>
      <c r="AM132" s="173">
        <f>Modèle!AM5</f>
        <v>59</v>
      </c>
      <c r="AN132" s="173">
        <f>Modèle!AN5</f>
        <v>60</v>
      </c>
      <c r="AO132" s="173">
        <f>Modèle!AO5</f>
        <v>61</v>
      </c>
      <c r="AP132" s="173">
        <f>Modèle!AP5</f>
        <v>62</v>
      </c>
      <c r="AQ132" s="173">
        <f>Modèle!AQ5</f>
        <v>63</v>
      </c>
      <c r="AR132" s="173">
        <f>Modèle!AR5</f>
        <v>64</v>
      </c>
      <c r="AS132" s="173">
        <f>Modèle!AS5</f>
        <v>65</v>
      </c>
      <c r="AT132" s="173">
        <f>Modèle!AT5</f>
        <v>66</v>
      </c>
      <c r="AU132" s="173">
        <f>Modèle!AU5</f>
        <v>67</v>
      </c>
      <c r="AV132" s="173">
        <f>Modèle!AV5</f>
        <v>68</v>
      </c>
      <c r="AW132" s="173">
        <f>Modèle!AW5</f>
        <v>69</v>
      </c>
      <c r="AX132" s="173">
        <f>Modèle!AX5</f>
        <v>70</v>
      </c>
      <c r="AY132" s="173">
        <f>Modèle!AY5</f>
        <v>71</v>
      </c>
      <c r="AZ132" s="173">
        <f>Modèle!AZ5</f>
        <v>72</v>
      </c>
      <c r="BA132" s="173">
        <f>Modèle!BA5</f>
        <v>73</v>
      </c>
    </row>
    <row r="133" spans="2:53" ht="15">
      <c r="B133" s="172" t="s">
        <v>243</v>
      </c>
      <c r="C133" s="114">
        <f>SUMPRODUCT(C110:C116,C124:C130)</f>
        <v>0</v>
      </c>
      <c r="D133" s="114">
        <f aca="true" t="shared" si="35" ref="D133:BA133">SUMPRODUCT(D110:D116,D124:D130)</f>
        <v>0</v>
      </c>
      <c r="E133" s="114">
        <f t="shared" si="35"/>
        <v>0</v>
      </c>
      <c r="F133" s="114">
        <f t="shared" si="35"/>
        <v>0</v>
      </c>
      <c r="G133" s="114">
        <f t="shared" si="35"/>
        <v>0</v>
      </c>
      <c r="H133" s="114">
        <f t="shared" si="35"/>
        <v>0</v>
      </c>
      <c r="I133" s="114">
        <f t="shared" si="35"/>
        <v>0</v>
      </c>
      <c r="J133" s="114">
        <f t="shared" si="35"/>
        <v>0</v>
      </c>
      <c r="K133" s="114">
        <f t="shared" si="35"/>
        <v>0</v>
      </c>
      <c r="L133" s="114">
        <f t="shared" si="35"/>
        <v>0</v>
      </c>
      <c r="M133" s="114">
        <f t="shared" si="35"/>
        <v>0</v>
      </c>
      <c r="N133" s="114">
        <f t="shared" si="35"/>
        <v>0</v>
      </c>
      <c r="O133" s="114">
        <f t="shared" si="35"/>
        <v>0</v>
      </c>
      <c r="P133" s="114">
        <f t="shared" si="35"/>
        <v>0</v>
      </c>
      <c r="Q133" s="114">
        <f t="shared" si="35"/>
        <v>0</v>
      </c>
      <c r="R133" s="114">
        <f t="shared" si="35"/>
        <v>0</v>
      </c>
      <c r="S133" s="114">
        <f t="shared" si="35"/>
        <v>0</v>
      </c>
      <c r="T133" s="114">
        <f t="shared" si="35"/>
        <v>0</v>
      </c>
      <c r="U133" s="114">
        <f t="shared" si="35"/>
        <v>0</v>
      </c>
      <c r="V133" s="114">
        <f t="shared" si="35"/>
        <v>0</v>
      </c>
      <c r="W133" s="114">
        <f t="shared" si="35"/>
        <v>0</v>
      </c>
      <c r="X133" s="114">
        <f t="shared" si="35"/>
        <v>0</v>
      </c>
      <c r="Y133" s="114">
        <f t="shared" si="35"/>
        <v>0</v>
      </c>
      <c r="Z133" s="114">
        <f t="shared" si="35"/>
        <v>0</v>
      </c>
      <c r="AA133" s="114">
        <f t="shared" si="35"/>
        <v>0</v>
      </c>
      <c r="AB133" s="114">
        <f t="shared" si="35"/>
        <v>0</v>
      </c>
      <c r="AC133" s="114">
        <f t="shared" si="35"/>
        <v>0</v>
      </c>
      <c r="AD133" s="114">
        <f t="shared" si="35"/>
        <v>0</v>
      </c>
      <c r="AE133" s="114">
        <f t="shared" si="35"/>
        <v>0</v>
      </c>
      <c r="AF133" s="114">
        <f t="shared" si="35"/>
        <v>0</v>
      </c>
      <c r="AG133" s="114">
        <f t="shared" si="35"/>
        <v>0</v>
      </c>
      <c r="AH133" s="114">
        <f t="shared" si="35"/>
        <v>0</v>
      </c>
      <c r="AI133" s="114">
        <f t="shared" si="35"/>
        <v>0</v>
      </c>
      <c r="AJ133" s="114">
        <f t="shared" si="35"/>
        <v>0</v>
      </c>
      <c r="AK133" s="114">
        <f t="shared" si="35"/>
        <v>0</v>
      </c>
      <c r="AL133" s="114">
        <f t="shared" si="35"/>
        <v>0</v>
      </c>
      <c r="AM133" s="114">
        <f t="shared" si="35"/>
        <v>0</v>
      </c>
      <c r="AN133" s="114">
        <f t="shared" si="35"/>
        <v>0</v>
      </c>
      <c r="AO133" s="114">
        <f t="shared" si="35"/>
        <v>0</v>
      </c>
      <c r="AP133" s="114">
        <f t="shared" si="35"/>
        <v>0</v>
      </c>
      <c r="AQ133" s="114">
        <f t="shared" si="35"/>
        <v>0</v>
      </c>
      <c r="AR133" s="114">
        <f t="shared" si="35"/>
        <v>0</v>
      </c>
      <c r="AS133" s="114">
        <f t="shared" si="35"/>
        <v>0</v>
      </c>
      <c r="AT133" s="114">
        <f t="shared" si="35"/>
        <v>0</v>
      </c>
      <c r="AU133" s="114">
        <f t="shared" si="35"/>
        <v>0</v>
      </c>
      <c r="AV133" s="114">
        <f t="shared" si="35"/>
        <v>0</v>
      </c>
      <c r="AW133" s="114">
        <f t="shared" si="35"/>
        <v>0</v>
      </c>
      <c r="AX133" s="114">
        <f t="shared" si="35"/>
        <v>0</v>
      </c>
      <c r="AY133" s="114">
        <f t="shared" si="35"/>
        <v>0</v>
      </c>
      <c r="AZ133" s="114">
        <f t="shared" si="35"/>
        <v>0</v>
      </c>
      <c r="BA133" s="114">
        <f t="shared" si="35"/>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D5:M13"/>
  <sheetViews>
    <sheetView zoomScalePageLayoutView="0" workbookViewId="0" topLeftCell="A1">
      <selection activeCell="H20" sqref="H20"/>
    </sheetView>
  </sheetViews>
  <sheetFormatPr defaultColWidth="11.421875" defaultRowHeight="15"/>
  <cols>
    <col min="1" max="16384" width="11.421875" style="125" customWidth="1"/>
  </cols>
  <sheetData>
    <row r="5" spans="4:13" ht="15">
      <c r="D5" s="187" t="s">
        <v>316</v>
      </c>
      <c r="E5" s="187"/>
      <c r="F5" s="187"/>
      <c r="G5" s="187"/>
      <c r="H5" s="187"/>
      <c r="I5" s="187"/>
      <c r="J5" s="187"/>
      <c r="K5" s="187"/>
      <c r="L5" s="187"/>
      <c r="M5" s="187"/>
    </row>
    <row r="6" spans="4:7" ht="15">
      <c r="D6" s="129"/>
      <c r="E6" s="129"/>
      <c r="F6" s="129"/>
      <c r="G6" s="138"/>
    </row>
    <row r="7" spans="4:13" ht="15" customHeight="1">
      <c r="D7" s="203" t="s">
        <v>317</v>
      </c>
      <c r="E7" s="204"/>
      <c r="F7" s="204"/>
      <c r="G7" s="204"/>
      <c r="H7" s="204"/>
      <c r="I7" s="204"/>
      <c r="J7" s="204"/>
      <c r="K7" s="204"/>
      <c r="L7" s="204"/>
      <c r="M7" s="205"/>
    </row>
    <row r="8" spans="4:13" ht="15">
      <c r="D8" s="206"/>
      <c r="E8" s="207"/>
      <c r="F8" s="207"/>
      <c r="G8" s="207"/>
      <c r="H8" s="207"/>
      <c r="I8" s="207"/>
      <c r="J8" s="207"/>
      <c r="K8" s="207"/>
      <c r="L8" s="207"/>
      <c r="M8" s="208"/>
    </row>
    <row r="9" spans="4:13" ht="15">
      <c r="D9" s="206"/>
      <c r="E9" s="207"/>
      <c r="F9" s="207"/>
      <c r="G9" s="207"/>
      <c r="H9" s="207"/>
      <c r="I9" s="207"/>
      <c r="J9" s="207"/>
      <c r="K9" s="207"/>
      <c r="L9" s="207"/>
      <c r="M9" s="208"/>
    </row>
    <row r="10" spans="4:13" ht="15">
      <c r="D10" s="206"/>
      <c r="E10" s="207"/>
      <c r="F10" s="207"/>
      <c r="G10" s="207"/>
      <c r="H10" s="207"/>
      <c r="I10" s="207"/>
      <c r="J10" s="207"/>
      <c r="K10" s="207"/>
      <c r="L10" s="207"/>
      <c r="M10" s="208"/>
    </row>
    <row r="11" spans="4:13" ht="15">
      <c r="D11" s="206"/>
      <c r="E11" s="207"/>
      <c r="F11" s="207"/>
      <c r="G11" s="207"/>
      <c r="H11" s="207"/>
      <c r="I11" s="207"/>
      <c r="J11" s="207"/>
      <c r="K11" s="207"/>
      <c r="L11" s="207"/>
      <c r="M11" s="208"/>
    </row>
    <row r="12" spans="4:13" ht="15">
      <c r="D12" s="206"/>
      <c r="E12" s="207"/>
      <c r="F12" s="207"/>
      <c r="G12" s="207"/>
      <c r="H12" s="207"/>
      <c r="I12" s="207"/>
      <c r="J12" s="207"/>
      <c r="K12" s="207"/>
      <c r="L12" s="207"/>
      <c r="M12" s="208"/>
    </row>
    <row r="13" spans="4:13" ht="15">
      <c r="D13" s="209"/>
      <c r="E13" s="210"/>
      <c r="F13" s="210"/>
      <c r="G13" s="210"/>
      <c r="H13" s="210"/>
      <c r="I13" s="210"/>
      <c r="J13" s="210"/>
      <c r="K13" s="210"/>
      <c r="L13" s="210"/>
      <c r="M13" s="211"/>
    </row>
  </sheetData>
  <sheetProtection/>
  <mergeCells count="2">
    <mergeCell ref="D5:M5"/>
    <mergeCell ref="D7:M1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75"/>
  <sheetViews>
    <sheetView zoomScaleSheetLayoutView="100" zoomScalePageLayoutView="0" workbookViewId="0" topLeftCell="A13">
      <selection activeCell="B53" sqref="B53"/>
    </sheetView>
  </sheetViews>
  <sheetFormatPr defaultColWidth="11.421875" defaultRowHeight="13.5" customHeight="1"/>
  <cols>
    <col min="1" max="1" width="8.7109375" style="2" customWidth="1"/>
    <col min="2" max="2" width="7.7109375" style="2" customWidth="1"/>
    <col min="3" max="6" width="9.28125" style="2" customWidth="1"/>
    <col min="7" max="7" width="7.7109375" style="2" customWidth="1"/>
    <col min="8" max="11" width="9.28125" style="2" customWidth="1"/>
    <col min="12" max="16384" width="11.421875" style="1" customWidth="1"/>
  </cols>
  <sheetData>
    <row r="1" spans="1:11" s="2" customFormat="1" ht="12.75" customHeight="1">
      <c r="A1" s="21" t="s">
        <v>29</v>
      </c>
      <c r="B1" s="20"/>
      <c r="C1" s="20"/>
      <c r="D1" s="20"/>
      <c r="E1" s="20"/>
      <c r="F1" s="20"/>
      <c r="G1" s="21"/>
      <c r="H1" s="20"/>
      <c r="I1" s="20"/>
      <c r="J1" s="20"/>
      <c r="K1" s="20"/>
    </row>
    <row r="2" spans="1:11" s="2" customFormat="1" ht="12.75" customHeight="1">
      <c r="A2" s="21"/>
      <c r="B2" s="20"/>
      <c r="C2" s="20"/>
      <c r="D2" s="20"/>
      <c r="E2" s="20"/>
      <c r="F2" s="20"/>
      <c r="G2" s="21"/>
      <c r="H2" s="20"/>
      <c r="I2" s="20"/>
      <c r="J2" s="20"/>
      <c r="K2" s="20"/>
    </row>
    <row r="3" spans="1:11" s="2" customFormat="1" ht="12.75" customHeight="1">
      <c r="A3" s="19"/>
      <c r="B3" s="19"/>
      <c r="C3" s="19"/>
      <c r="D3" s="19"/>
      <c r="E3" s="19"/>
      <c r="F3" s="19"/>
      <c r="G3" s="19"/>
      <c r="H3" s="19"/>
      <c r="I3" s="19"/>
      <c r="J3" s="19"/>
      <c r="K3" s="18" t="s">
        <v>28</v>
      </c>
    </row>
    <row r="4" spans="1:11" s="2" customFormat="1" ht="12.75" customHeight="1">
      <c r="A4" s="215" t="s">
        <v>27</v>
      </c>
      <c r="B4" s="212" t="s">
        <v>26</v>
      </c>
      <c r="C4" s="213"/>
      <c r="D4" s="213"/>
      <c r="E4" s="213"/>
      <c r="F4" s="214"/>
      <c r="G4" s="213" t="s">
        <v>25</v>
      </c>
      <c r="H4" s="213"/>
      <c r="I4" s="213"/>
      <c r="J4" s="213"/>
      <c r="K4" s="214"/>
    </row>
    <row r="5" spans="1:11" s="2" customFormat="1" ht="12.75" customHeight="1">
      <c r="A5" s="216"/>
      <c r="B5" s="17" t="s">
        <v>24</v>
      </c>
      <c r="C5" s="15" t="s">
        <v>23</v>
      </c>
      <c r="D5" s="16" t="s">
        <v>22</v>
      </c>
      <c r="E5" s="15" t="s">
        <v>21</v>
      </c>
      <c r="F5" s="16" t="s">
        <v>20</v>
      </c>
      <c r="G5" s="15" t="s">
        <v>24</v>
      </c>
      <c r="H5" s="16" t="s">
        <v>23</v>
      </c>
      <c r="I5" s="15" t="s">
        <v>22</v>
      </c>
      <c r="J5" s="16" t="s">
        <v>21</v>
      </c>
      <c r="K5" s="15" t="s">
        <v>20</v>
      </c>
    </row>
    <row r="6" spans="1:11" s="2" customFormat="1" ht="12.75" customHeight="1">
      <c r="A6" s="14">
        <v>1946</v>
      </c>
      <c r="B6" s="11">
        <v>59.9</v>
      </c>
      <c r="C6" s="10">
        <v>64.4</v>
      </c>
      <c r="D6" s="11">
        <v>48</v>
      </c>
      <c r="E6" s="10">
        <v>30.8</v>
      </c>
      <c r="F6" s="11">
        <v>15.4</v>
      </c>
      <c r="G6" s="10">
        <v>65.2</v>
      </c>
      <c r="H6" s="11">
        <v>68.9</v>
      </c>
      <c r="I6" s="10">
        <v>52.2</v>
      </c>
      <c r="J6" s="11">
        <v>34.7</v>
      </c>
      <c r="K6" s="10">
        <v>18</v>
      </c>
    </row>
    <row r="7" spans="1:11" s="2" customFormat="1" ht="12.75" customHeight="1">
      <c r="A7" s="13">
        <v>1947</v>
      </c>
      <c r="B7" s="11">
        <v>61.2</v>
      </c>
      <c r="C7" s="10">
        <v>65.3</v>
      </c>
      <c r="D7" s="11">
        <v>48.4</v>
      </c>
      <c r="E7" s="10">
        <v>30.9</v>
      </c>
      <c r="F7" s="11">
        <v>15.5</v>
      </c>
      <c r="G7" s="10">
        <v>66.7</v>
      </c>
      <c r="H7" s="11">
        <v>70</v>
      </c>
      <c r="I7" s="10">
        <v>52.9</v>
      </c>
      <c r="J7" s="11">
        <v>35.1</v>
      </c>
      <c r="K7" s="10">
        <v>18.2</v>
      </c>
    </row>
    <row r="8" spans="1:11" s="2" customFormat="1" ht="12.75" customHeight="1">
      <c r="A8" s="13">
        <v>1948</v>
      </c>
      <c r="B8" s="11">
        <v>62.7</v>
      </c>
      <c r="C8" s="10">
        <v>65.9</v>
      </c>
      <c r="D8" s="11">
        <v>48.5</v>
      </c>
      <c r="E8" s="10">
        <v>30.9</v>
      </c>
      <c r="F8" s="11">
        <v>15.6</v>
      </c>
      <c r="G8" s="10">
        <v>68.8</v>
      </c>
      <c r="H8" s="11">
        <v>71.2</v>
      </c>
      <c r="I8" s="10">
        <v>53.6</v>
      </c>
      <c r="J8" s="11">
        <v>35.6</v>
      </c>
      <c r="K8" s="10">
        <v>18.7</v>
      </c>
    </row>
    <row r="9" spans="1:11" s="2" customFormat="1" ht="12.75" customHeight="1">
      <c r="A9" s="13">
        <v>1949</v>
      </c>
      <c r="B9" s="11">
        <v>62.2</v>
      </c>
      <c r="C9" s="10">
        <v>65.5</v>
      </c>
      <c r="D9" s="11">
        <v>48.2</v>
      </c>
      <c r="E9" s="10">
        <v>30.3</v>
      </c>
      <c r="F9" s="11">
        <v>14.9</v>
      </c>
      <c r="G9" s="10">
        <v>67.6</v>
      </c>
      <c r="H9" s="11">
        <v>70.2</v>
      </c>
      <c r="I9" s="10">
        <v>52.7</v>
      </c>
      <c r="J9" s="11">
        <v>34.5</v>
      </c>
      <c r="K9" s="10">
        <v>17.7</v>
      </c>
    </row>
    <row r="10" spans="1:11" s="2" customFormat="1" ht="12.75" customHeight="1">
      <c r="A10" s="13">
        <v>1950</v>
      </c>
      <c r="B10" s="11">
        <v>63.4</v>
      </c>
      <c r="C10" s="10">
        <v>66.2</v>
      </c>
      <c r="D10" s="11">
        <v>48.7</v>
      </c>
      <c r="E10" s="10">
        <v>30.7</v>
      </c>
      <c r="F10" s="11">
        <v>15.4</v>
      </c>
      <c r="G10" s="10">
        <v>69.2</v>
      </c>
      <c r="H10" s="11">
        <v>71.4</v>
      </c>
      <c r="I10" s="10">
        <v>53.6</v>
      </c>
      <c r="J10" s="11">
        <v>35.2</v>
      </c>
      <c r="K10" s="10">
        <v>18.4</v>
      </c>
    </row>
    <row r="11" spans="1:11" s="2" customFormat="1" ht="12.75" customHeight="1">
      <c r="A11" s="13">
        <v>1951</v>
      </c>
      <c r="B11" s="11">
        <v>63.1</v>
      </c>
      <c r="C11" s="10">
        <v>65.9</v>
      </c>
      <c r="D11" s="11">
        <v>48.2</v>
      </c>
      <c r="E11" s="10">
        <v>30.2</v>
      </c>
      <c r="F11" s="11">
        <v>14.9</v>
      </c>
      <c r="G11" s="10">
        <v>68.9</v>
      </c>
      <c r="H11" s="11">
        <v>71</v>
      </c>
      <c r="I11" s="10">
        <v>53.2</v>
      </c>
      <c r="J11" s="11">
        <v>34.8</v>
      </c>
      <c r="K11" s="10">
        <v>17.9</v>
      </c>
    </row>
    <row r="12" spans="1:11" s="2" customFormat="1" ht="12.75" customHeight="1">
      <c r="A12" s="13">
        <v>1952</v>
      </c>
      <c r="B12" s="11">
        <v>64.4</v>
      </c>
      <c r="C12" s="10">
        <v>66.8</v>
      </c>
      <c r="D12" s="11">
        <v>49.1</v>
      </c>
      <c r="E12" s="10">
        <v>30.9</v>
      </c>
      <c r="F12" s="11">
        <v>15.5</v>
      </c>
      <c r="G12" s="10">
        <v>70.2</v>
      </c>
      <c r="H12" s="11">
        <v>72.1</v>
      </c>
      <c r="I12" s="10">
        <v>54.2</v>
      </c>
      <c r="J12" s="11">
        <v>35.6</v>
      </c>
      <c r="K12" s="10">
        <v>18.6</v>
      </c>
    </row>
    <row r="13" spans="1:11" s="2" customFormat="1" ht="12.75" customHeight="1">
      <c r="A13" s="13">
        <v>1953</v>
      </c>
      <c r="B13" s="11">
        <v>64.3</v>
      </c>
      <c r="C13" s="10">
        <v>66.4</v>
      </c>
      <c r="D13" s="11">
        <v>48.6</v>
      </c>
      <c r="E13" s="10">
        <v>30.3</v>
      </c>
      <c r="F13" s="11">
        <v>15</v>
      </c>
      <c r="G13" s="10">
        <v>70.3</v>
      </c>
      <c r="H13" s="11">
        <v>71.8</v>
      </c>
      <c r="I13" s="10">
        <v>53.8</v>
      </c>
      <c r="J13" s="11">
        <v>35.1</v>
      </c>
      <c r="K13" s="10">
        <v>18.1</v>
      </c>
    </row>
    <row r="14" spans="1:11" s="2" customFormat="1" ht="12.75" customHeight="1">
      <c r="A14" s="13">
        <v>1954</v>
      </c>
      <c r="B14" s="11">
        <v>65</v>
      </c>
      <c r="C14" s="10">
        <v>67.1</v>
      </c>
      <c r="D14" s="11">
        <v>49.2</v>
      </c>
      <c r="E14" s="10">
        <v>31</v>
      </c>
      <c r="F14" s="11">
        <v>15.5</v>
      </c>
      <c r="G14" s="10">
        <v>71.2</v>
      </c>
      <c r="H14" s="11">
        <v>72.8</v>
      </c>
      <c r="I14" s="10">
        <v>54.7</v>
      </c>
      <c r="J14" s="11">
        <v>35.9</v>
      </c>
      <c r="K14" s="10">
        <v>18.9</v>
      </c>
    </row>
    <row r="15" spans="1:11" s="2" customFormat="1" ht="12.75" customHeight="1">
      <c r="A15" s="13">
        <v>1955</v>
      </c>
      <c r="B15" s="11">
        <v>65.2</v>
      </c>
      <c r="C15" s="10">
        <v>67.1</v>
      </c>
      <c r="D15" s="11">
        <v>49.2</v>
      </c>
      <c r="E15" s="10">
        <v>30.9</v>
      </c>
      <c r="F15" s="11">
        <v>15.4</v>
      </c>
      <c r="G15" s="10">
        <v>71.5</v>
      </c>
      <c r="H15" s="11">
        <v>73</v>
      </c>
      <c r="I15" s="10">
        <v>54.8</v>
      </c>
      <c r="J15" s="11">
        <v>36</v>
      </c>
      <c r="K15" s="10">
        <v>18.9</v>
      </c>
    </row>
    <row r="16" spans="1:11" s="2" customFormat="1" ht="12.75" customHeight="1">
      <c r="A16" s="13">
        <v>1956</v>
      </c>
      <c r="B16" s="11">
        <v>65.2</v>
      </c>
      <c r="C16" s="10">
        <v>66.9</v>
      </c>
      <c r="D16" s="11">
        <v>48.9</v>
      </c>
      <c r="E16" s="10">
        <v>30.6</v>
      </c>
      <c r="F16" s="11">
        <v>15.2</v>
      </c>
      <c r="G16" s="10">
        <v>71.7</v>
      </c>
      <c r="H16" s="11">
        <v>72.9</v>
      </c>
      <c r="I16" s="10">
        <v>54.7</v>
      </c>
      <c r="J16" s="11">
        <v>35.9</v>
      </c>
      <c r="K16" s="10">
        <v>18.7</v>
      </c>
    </row>
    <row r="17" spans="1:11" s="2" customFormat="1" ht="12.75" customHeight="1">
      <c r="A17" s="13">
        <v>1957</v>
      </c>
      <c r="B17" s="11">
        <v>65.5</v>
      </c>
      <c r="C17" s="10">
        <v>67</v>
      </c>
      <c r="D17" s="11">
        <v>49.1</v>
      </c>
      <c r="E17" s="10">
        <v>30.8</v>
      </c>
      <c r="F17" s="11">
        <v>15.3</v>
      </c>
      <c r="G17" s="10">
        <v>72.2</v>
      </c>
      <c r="H17" s="11">
        <v>73.4</v>
      </c>
      <c r="I17" s="10">
        <v>55.2</v>
      </c>
      <c r="J17" s="11">
        <v>36.3</v>
      </c>
      <c r="K17" s="10">
        <v>19</v>
      </c>
    </row>
    <row r="18" spans="1:11" s="2" customFormat="1" ht="12.75" customHeight="1">
      <c r="A18" s="13">
        <v>1958</v>
      </c>
      <c r="B18" s="11">
        <v>66.8</v>
      </c>
      <c r="C18" s="10">
        <v>68.3</v>
      </c>
      <c r="D18" s="11">
        <v>50.2</v>
      </c>
      <c r="E18" s="10">
        <v>31.8</v>
      </c>
      <c r="F18" s="11">
        <v>16</v>
      </c>
      <c r="G18" s="10">
        <v>73.2</v>
      </c>
      <c r="H18" s="11">
        <v>74.3</v>
      </c>
      <c r="I18" s="10">
        <v>56</v>
      </c>
      <c r="J18" s="11">
        <v>37</v>
      </c>
      <c r="K18" s="10">
        <v>19.5</v>
      </c>
    </row>
    <row r="19" spans="1:11" s="2" customFormat="1" ht="12.75" customHeight="1">
      <c r="A19" s="13">
        <v>1959</v>
      </c>
      <c r="B19" s="11">
        <v>66.8</v>
      </c>
      <c r="C19" s="10">
        <v>68.1</v>
      </c>
      <c r="D19" s="11">
        <v>50.1</v>
      </c>
      <c r="E19" s="10">
        <v>31.7</v>
      </c>
      <c r="F19" s="11">
        <v>15.9</v>
      </c>
      <c r="G19" s="10">
        <v>73.4</v>
      </c>
      <c r="H19" s="11">
        <v>74.3</v>
      </c>
      <c r="I19" s="10">
        <v>56</v>
      </c>
      <c r="J19" s="11">
        <v>37</v>
      </c>
      <c r="K19" s="10">
        <v>19.6</v>
      </c>
    </row>
    <row r="20" spans="1:11" s="2" customFormat="1" ht="12.75" customHeight="1">
      <c r="A20" s="13">
        <v>1960</v>
      </c>
      <c r="B20" s="11">
        <v>67</v>
      </c>
      <c r="C20" s="10">
        <v>68.1</v>
      </c>
      <c r="D20" s="11">
        <v>50</v>
      </c>
      <c r="E20" s="10">
        <v>31.5</v>
      </c>
      <c r="F20" s="11">
        <v>15.7</v>
      </c>
      <c r="G20" s="10">
        <v>73.6</v>
      </c>
      <c r="H20" s="11">
        <v>74.4</v>
      </c>
      <c r="I20" s="10">
        <v>56</v>
      </c>
      <c r="J20" s="11">
        <v>37</v>
      </c>
      <c r="K20" s="10">
        <v>19.5</v>
      </c>
    </row>
    <row r="21" spans="1:11" s="2" customFormat="1" ht="12.75" customHeight="1">
      <c r="A21" s="13">
        <v>1961</v>
      </c>
      <c r="B21" s="11">
        <v>67.5</v>
      </c>
      <c r="C21" s="10">
        <v>68.5</v>
      </c>
      <c r="D21" s="11">
        <v>50.3</v>
      </c>
      <c r="E21" s="10">
        <v>32</v>
      </c>
      <c r="F21" s="11">
        <v>16.1</v>
      </c>
      <c r="G21" s="10">
        <v>74.4</v>
      </c>
      <c r="H21" s="11">
        <v>75.1</v>
      </c>
      <c r="I21" s="10">
        <v>56.7</v>
      </c>
      <c r="J21" s="11">
        <v>37.6</v>
      </c>
      <c r="K21" s="10">
        <v>20.1</v>
      </c>
    </row>
    <row r="22" spans="1:11" s="2" customFormat="1" ht="12.75" customHeight="1">
      <c r="A22" s="13">
        <v>1962</v>
      </c>
      <c r="B22" s="11">
        <v>67</v>
      </c>
      <c r="C22" s="10">
        <v>68</v>
      </c>
      <c r="D22" s="11">
        <v>49.9</v>
      </c>
      <c r="E22" s="10">
        <v>31.5</v>
      </c>
      <c r="F22" s="11">
        <v>15.7</v>
      </c>
      <c r="G22" s="10">
        <v>73.9</v>
      </c>
      <c r="H22" s="11">
        <v>74.6</v>
      </c>
      <c r="I22" s="10">
        <v>56.2</v>
      </c>
      <c r="J22" s="11">
        <v>37.1</v>
      </c>
      <c r="K22" s="10">
        <v>19.6</v>
      </c>
    </row>
    <row r="23" spans="1:11" s="2" customFormat="1" ht="12.75" customHeight="1">
      <c r="A23" s="13">
        <v>1963</v>
      </c>
      <c r="B23" s="11">
        <v>66.8</v>
      </c>
      <c r="C23" s="10">
        <v>67.8</v>
      </c>
      <c r="D23" s="11">
        <v>49.7</v>
      </c>
      <c r="E23" s="10">
        <v>31.2</v>
      </c>
      <c r="F23" s="11">
        <v>15.5</v>
      </c>
      <c r="G23" s="10">
        <v>73.8</v>
      </c>
      <c r="H23" s="11">
        <v>74.3</v>
      </c>
      <c r="I23" s="10">
        <v>56.1</v>
      </c>
      <c r="J23" s="11">
        <v>37.1</v>
      </c>
      <c r="K23" s="10">
        <v>19.5</v>
      </c>
    </row>
    <row r="24" spans="1:11" s="2" customFormat="1" ht="12.75" customHeight="1">
      <c r="A24" s="13">
        <v>1964</v>
      </c>
      <c r="B24" s="11">
        <v>67.7</v>
      </c>
      <c r="C24" s="10">
        <v>68.5</v>
      </c>
      <c r="D24" s="11">
        <v>50.3</v>
      </c>
      <c r="E24" s="10">
        <v>31.9</v>
      </c>
      <c r="F24" s="11">
        <v>16</v>
      </c>
      <c r="G24" s="10">
        <v>74.8</v>
      </c>
      <c r="H24" s="11">
        <v>75.2</v>
      </c>
      <c r="I24" s="10">
        <v>57</v>
      </c>
      <c r="J24" s="11">
        <v>37.9</v>
      </c>
      <c r="K24" s="10">
        <v>20.3</v>
      </c>
    </row>
    <row r="25" spans="1:11" s="2" customFormat="1" ht="12.75" customHeight="1">
      <c r="A25" s="13">
        <v>1965</v>
      </c>
      <c r="B25" s="11">
        <v>67.5</v>
      </c>
      <c r="C25" s="10">
        <v>68.1</v>
      </c>
      <c r="D25" s="11">
        <v>50</v>
      </c>
      <c r="E25" s="10">
        <v>31.6</v>
      </c>
      <c r="F25" s="11">
        <v>15.7</v>
      </c>
      <c r="G25" s="10">
        <v>74.7</v>
      </c>
      <c r="H25" s="11">
        <v>75</v>
      </c>
      <c r="I25" s="10">
        <v>56.7</v>
      </c>
      <c r="J25" s="11">
        <v>37.7</v>
      </c>
      <c r="K25" s="10">
        <v>20.1</v>
      </c>
    </row>
    <row r="26" spans="1:11" s="2" customFormat="1" ht="12.75" customHeight="1">
      <c r="A26" s="13">
        <v>1966</v>
      </c>
      <c r="B26" s="11">
        <v>67.8</v>
      </c>
      <c r="C26" s="10">
        <v>68.5</v>
      </c>
      <c r="D26" s="11">
        <v>50.3</v>
      </c>
      <c r="E26" s="10">
        <v>31.9</v>
      </c>
      <c r="F26" s="11">
        <v>16.1</v>
      </c>
      <c r="G26" s="10">
        <v>75.2</v>
      </c>
      <c r="H26" s="11">
        <v>75.5</v>
      </c>
      <c r="I26" s="10">
        <v>57.2</v>
      </c>
      <c r="J26" s="11">
        <v>38.1</v>
      </c>
      <c r="K26" s="10">
        <v>20.5</v>
      </c>
    </row>
    <row r="27" spans="1:11" s="2" customFormat="1" ht="12.75" customHeight="1">
      <c r="A27" s="13">
        <v>1967</v>
      </c>
      <c r="B27" s="11">
        <v>67.8</v>
      </c>
      <c r="C27" s="10">
        <v>68.4</v>
      </c>
      <c r="D27" s="11">
        <v>50.2</v>
      </c>
      <c r="E27" s="10">
        <v>31.8</v>
      </c>
      <c r="F27" s="11">
        <v>15.9</v>
      </c>
      <c r="G27" s="10">
        <v>75.2</v>
      </c>
      <c r="H27" s="11">
        <v>75.4</v>
      </c>
      <c r="I27" s="10">
        <v>57.1</v>
      </c>
      <c r="J27" s="11">
        <v>38</v>
      </c>
      <c r="K27" s="10">
        <v>20.4</v>
      </c>
    </row>
    <row r="28" spans="1:11" s="2" customFormat="1" ht="12.75" customHeight="1">
      <c r="A28" s="13">
        <v>1968</v>
      </c>
      <c r="B28" s="11">
        <v>67.8</v>
      </c>
      <c r="C28" s="10">
        <v>68.3</v>
      </c>
      <c r="D28" s="11">
        <v>50.2</v>
      </c>
      <c r="E28" s="10">
        <v>31.7</v>
      </c>
      <c r="F28" s="11">
        <v>15.8</v>
      </c>
      <c r="G28" s="10">
        <v>75.2</v>
      </c>
      <c r="H28" s="11">
        <v>75.5</v>
      </c>
      <c r="I28" s="10">
        <v>57.2</v>
      </c>
      <c r="J28" s="11">
        <v>38</v>
      </c>
      <c r="K28" s="10">
        <v>20.4</v>
      </c>
    </row>
    <row r="29" spans="1:11" s="2" customFormat="1" ht="12.75" customHeight="1">
      <c r="A29" s="13">
        <v>1969</v>
      </c>
      <c r="B29" s="11">
        <v>67.4</v>
      </c>
      <c r="C29" s="10">
        <v>67.9</v>
      </c>
      <c r="D29" s="11">
        <v>49.8</v>
      </c>
      <c r="E29" s="10">
        <v>31.4</v>
      </c>
      <c r="F29" s="11">
        <v>15.6</v>
      </c>
      <c r="G29" s="10">
        <v>75.1</v>
      </c>
      <c r="H29" s="11">
        <v>75.4</v>
      </c>
      <c r="I29" s="10">
        <v>57</v>
      </c>
      <c r="J29" s="11">
        <v>37.8</v>
      </c>
      <c r="K29" s="10">
        <v>20.2</v>
      </c>
    </row>
    <row r="30" spans="1:11" s="2" customFormat="1" ht="12.75" customHeight="1">
      <c r="A30" s="13">
        <v>1970</v>
      </c>
      <c r="B30" s="11">
        <v>68.4</v>
      </c>
      <c r="C30" s="10">
        <v>68.8</v>
      </c>
      <c r="D30" s="11">
        <v>50.7</v>
      </c>
      <c r="E30" s="10">
        <v>32.3</v>
      </c>
      <c r="F30" s="11">
        <v>16.2</v>
      </c>
      <c r="G30" s="10">
        <v>75.9</v>
      </c>
      <c r="H30" s="11">
        <v>76.1</v>
      </c>
      <c r="I30" s="10">
        <v>57.6</v>
      </c>
      <c r="J30" s="11">
        <v>38.5</v>
      </c>
      <c r="K30" s="10">
        <v>20.8</v>
      </c>
    </row>
    <row r="31" spans="1:11" s="2" customFormat="1" ht="12.75" customHeight="1">
      <c r="A31" s="13">
        <v>1971</v>
      </c>
      <c r="B31" s="11">
        <v>68.3</v>
      </c>
      <c r="C31" s="10">
        <v>68.7</v>
      </c>
      <c r="D31" s="11">
        <v>50.5</v>
      </c>
      <c r="E31" s="10">
        <v>32.1</v>
      </c>
      <c r="F31" s="11">
        <v>16.2</v>
      </c>
      <c r="G31" s="10">
        <v>75.9</v>
      </c>
      <c r="H31" s="11">
        <v>76.1</v>
      </c>
      <c r="I31" s="10">
        <v>57.7</v>
      </c>
      <c r="J31" s="11">
        <v>38.5</v>
      </c>
      <c r="K31" s="10">
        <v>20.8</v>
      </c>
    </row>
    <row r="32" spans="1:11" s="2" customFormat="1" ht="12.75" customHeight="1">
      <c r="A32" s="13">
        <v>1972</v>
      </c>
      <c r="B32" s="11">
        <v>68.5</v>
      </c>
      <c r="C32" s="10">
        <v>68.7</v>
      </c>
      <c r="D32" s="11">
        <v>50.6</v>
      </c>
      <c r="E32" s="10">
        <v>32.3</v>
      </c>
      <c r="F32" s="11">
        <v>16.4</v>
      </c>
      <c r="G32" s="10">
        <v>76.2</v>
      </c>
      <c r="H32" s="11">
        <v>76.3</v>
      </c>
      <c r="I32" s="10">
        <v>57.9</v>
      </c>
      <c r="J32" s="11">
        <v>38.7</v>
      </c>
      <c r="K32" s="10">
        <v>21.1</v>
      </c>
    </row>
    <row r="33" spans="1:11" s="2" customFormat="1" ht="12.75" customHeight="1">
      <c r="A33" s="13">
        <v>1973</v>
      </c>
      <c r="B33" s="11">
        <v>68.7</v>
      </c>
      <c r="C33" s="10">
        <v>68.9</v>
      </c>
      <c r="D33" s="11">
        <v>50.8</v>
      </c>
      <c r="E33" s="10">
        <v>32.3</v>
      </c>
      <c r="F33" s="11">
        <v>16.4</v>
      </c>
      <c r="G33" s="10">
        <v>76.3</v>
      </c>
      <c r="H33" s="11">
        <v>76.4</v>
      </c>
      <c r="I33" s="10">
        <v>57.9</v>
      </c>
      <c r="J33" s="11">
        <v>38.8</v>
      </c>
      <c r="K33" s="10">
        <v>21</v>
      </c>
    </row>
    <row r="34" spans="1:11" s="2" customFormat="1" ht="12.75" customHeight="1">
      <c r="A34" s="13">
        <v>1974</v>
      </c>
      <c r="B34" s="11">
        <v>68.9</v>
      </c>
      <c r="C34" s="10">
        <v>69.1</v>
      </c>
      <c r="D34" s="11">
        <v>50.9</v>
      </c>
      <c r="E34" s="10">
        <v>32.5</v>
      </c>
      <c r="F34" s="11">
        <v>16.5</v>
      </c>
      <c r="G34" s="10">
        <v>76.7</v>
      </c>
      <c r="H34" s="11">
        <v>76.7</v>
      </c>
      <c r="I34" s="10">
        <v>58.3</v>
      </c>
      <c r="J34" s="11">
        <v>39.1</v>
      </c>
      <c r="K34" s="10">
        <v>21.3</v>
      </c>
    </row>
    <row r="35" spans="1:11" s="2" customFormat="1" ht="12.75" customHeight="1">
      <c r="A35" s="13">
        <v>1975</v>
      </c>
      <c r="B35" s="11">
        <v>69</v>
      </c>
      <c r="C35" s="10">
        <v>69.1</v>
      </c>
      <c r="D35" s="11">
        <v>50.9</v>
      </c>
      <c r="E35" s="10">
        <v>32.4</v>
      </c>
      <c r="F35" s="11">
        <v>16.5</v>
      </c>
      <c r="G35" s="10">
        <v>76.9</v>
      </c>
      <c r="H35" s="11">
        <v>76.8</v>
      </c>
      <c r="I35" s="10">
        <v>58.3</v>
      </c>
      <c r="J35" s="11">
        <v>39.1</v>
      </c>
      <c r="K35" s="10">
        <v>21.3</v>
      </c>
    </row>
    <row r="36" spans="1:11" s="2" customFormat="1" ht="12.75" customHeight="1">
      <c r="A36" s="13">
        <v>1976</v>
      </c>
      <c r="B36" s="11">
        <v>69.2</v>
      </c>
      <c r="C36" s="10">
        <v>69.2</v>
      </c>
      <c r="D36" s="11">
        <v>50.9</v>
      </c>
      <c r="E36" s="10">
        <v>32.5</v>
      </c>
      <c r="F36" s="11">
        <v>16.6</v>
      </c>
      <c r="G36" s="10">
        <v>77.2</v>
      </c>
      <c r="H36" s="11">
        <v>77.1</v>
      </c>
      <c r="I36" s="10">
        <v>58.6</v>
      </c>
      <c r="J36" s="11">
        <v>39.3</v>
      </c>
      <c r="K36" s="10">
        <v>21.5</v>
      </c>
    </row>
    <row r="37" spans="1:11" s="2" customFormat="1" ht="12.75" customHeight="1">
      <c r="A37" s="13">
        <v>1977</v>
      </c>
      <c r="B37" s="11">
        <v>69.7</v>
      </c>
      <c r="C37" s="10">
        <v>69.7</v>
      </c>
      <c r="D37" s="11">
        <v>51.4</v>
      </c>
      <c r="E37" s="10">
        <v>33</v>
      </c>
      <c r="F37" s="11">
        <v>17</v>
      </c>
      <c r="G37" s="10">
        <v>77.8</v>
      </c>
      <c r="H37" s="11">
        <v>77.6</v>
      </c>
      <c r="I37" s="10">
        <v>59.1</v>
      </c>
      <c r="J37" s="11">
        <v>39.9</v>
      </c>
      <c r="K37" s="10">
        <v>22</v>
      </c>
    </row>
    <row r="38" spans="1:11" s="2" customFormat="1" ht="12.75" customHeight="1">
      <c r="A38" s="13">
        <v>1978</v>
      </c>
      <c r="B38" s="11">
        <v>69.8</v>
      </c>
      <c r="C38" s="10">
        <v>69.7</v>
      </c>
      <c r="D38" s="11">
        <v>51.5</v>
      </c>
      <c r="E38" s="10">
        <v>32.9</v>
      </c>
      <c r="F38" s="11">
        <v>17</v>
      </c>
      <c r="G38" s="10">
        <v>77.9</v>
      </c>
      <c r="H38" s="11">
        <v>77.7</v>
      </c>
      <c r="I38" s="10">
        <v>59.2</v>
      </c>
      <c r="J38" s="11">
        <v>39.9</v>
      </c>
      <c r="K38" s="10">
        <v>22</v>
      </c>
    </row>
    <row r="39" spans="1:11" s="2" customFormat="1" ht="12.75" customHeight="1">
      <c r="A39" s="13">
        <v>1979</v>
      </c>
      <c r="B39" s="11">
        <v>70.1</v>
      </c>
      <c r="C39" s="10">
        <v>69.9</v>
      </c>
      <c r="D39" s="11">
        <v>51.6</v>
      </c>
      <c r="E39" s="10">
        <v>33.2</v>
      </c>
      <c r="F39" s="11">
        <v>17.2</v>
      </c>
      <c r="G39" s="10">
        <v>78.3</v>
      </c>
      <c r="H39" s="11">
        <v>78</v>
      </c>
      <c r="I39" s="10">
        <v>59.4</v>
      </c>
      <c r="J39" s="11">
        <v>40.2</v>
      </c>
      <c r="K39" s="10">
        <v>22.3</v>
      </c>
    </row>
    <row r="40" spans="1:11" s="2" customFormat="1" ht="12.75" customHeight="1">
      <c r="A40" s="13">
        <v>1980</v>
      </c>
      <c r="B40" s="11">
        <v>70.2</v>
      </c>
      <c r="C40" s="10">
        <v>70</v>
      </c>
      <c r="D40" s="11">
        <v>51.8</v>
      </c>
      <c r="E40" s="10">
        <v>33.3</v>
      </c>
      <c r="F40" s="11">
        <v>17.3</v>
      </c>
      <c r="G40" s="10">
        <v>78.4</v>
      </c>
      <c r="H40" s="11">
        <v>78.1</v>
      </c>
      <c r="I40" s="10">
        <v>59.6</v>
      </c>
      <c r="J40" s="11">
        <v>40.3</v>
      </c>
      <c r="K40" s="10">
        <v>22.4</v>
      </c>
    </row>
    <row r="41" spans="1:11" s="2" customFormat="1" ht="12.75" customHeight="1">
      <c r="A41" s="13">
        <v>1981</v>
      </c>
      <c r="B41" s="11">
        <v>70.4</v>
      </c>
      <c r="C41" s="10">
        <v>70.2</v>
      </c>
      <c r="D41" s="11">
        <v>51.9</v>
      </c>
      <c r="E41" s="10">
        <v>33.4</v>
      </c>
      <c r="F41" s="11">
        <v>17.3</v>
      </c>
      <c r="G41" s="10">
        <v>78.5</v>
      </c>
      <c r="H41" s="11">
        <v>78.1</v>
      </c>
      <c r="I41" s="10">
        <v>59.6</v>
      </c>
      <c r="J41" s="11">
        <v>40.4</v>
      </c>
      <c r="K41" s="10">
        <v>22.3</v>
      </c>
    </row>
    <row r="42" spans="1:11" s="2" customFormat="1" ht="12.75" customHeight="1">
      <c r="A42" s="13">
        <v>1982</v>
      </c>
      <c r="B42" s="11">
        <v>70.7</v>
      </c>
      <c r="C42" s="10">
        <v>70.5</v>
      </c>
      <c r="D42" s="11">
        <v>52.2</v>
      </c>
      <c r="E42" s="10">
        <v>33.7</v>
      </c>
      <c r="F42" s="11">
        <v>17.7</v>
      </c>
      <c r="G42" s="10">
        <v>78.9</v>
      </c>
      <c r="H42" s="11">
        <v>78.5</v>
      </c>
      <c r="I42" s="10">
        <v>60</v>
      </c>
      <c r="J42" s="11">
        <v>40.7</v>
      </c>
      <c r="K42" s="10">
        <v>22.7</v>
      </c>
    </row>
    <row r="43" spans="1:11" s="2" customFormat="1" ht="12.75" customHeight="1">
      <c r="A43" s="13">
        <v>1983</v>
      </c>
      <c r="B43" s="11">
        <v>70.7</v>
      </c>
      <c r="C43" s="10">
        <v>70.5</v>
      </c>
      <c r="D43" s="11">
        <v>52.1</v>
      </c>
      <c r="E43" s="10">
        <v>33.7</v>
      </c>
      <c r="F43" s="11">
        <v>17.6</v>
      </c>
      <c r="G43" s="10">
        <v>78.8</v>
      </c>
      <c r="H43" s="11">
        <v>78.4</v>
      </c>
      <c r="I43" s="10">
        <v>59.9</v>
      </c>
      <c r="J43" s="11">
        <v>40.6</v>
      </c>
      <c r="K43" s="10">
        <v>22.6</v>
      </c>
    </row>
    <row r="44" spans="1:11" s="2" customFormat="1" ht="12.75" customHeight="1">
      <c r="A44" s="13">
        <v>1984</v>
      </c>
      <c r="B44" s="11">
        <v>71.2</v>
      </c>
      <c r="C44" s="10">
        <v>70.8</v>
      </c>
      <c r="D44" s="11">
        <v>52.4</v>
      </c>
      <c r="E44" s="10">
        <v>34</v>
      </c>
      <c r="F44" s="11">
        <v>17.9</v>
      </c>
      <c r="G44" s="10">
        <v>79.3</v>
      </c>
      <c r="H44" s="11">
        <v>78.9</v>
      </c>
      <c r="I44" s="10">
        <v>60.3</v>
      </c>
      <c r="J44" s="11">
        <v>41.1</v>
      </c>
      <c r="K44" s="10">
        <v>23</v>
      </c>
    </row>
    <row r="45" spans="1:11" s="2" customFormat="1" ht="12.75" customHeight="1">
      <c r="A45" s="13">
        <v>1985</v>
      </c>
      <c r="B45" s="11">
        <v>71.3</v>
      </c>
      <c r="C45" s="10">
        <v>70.9</v>
      </c>
      <c r="D45" s="11">
        <v>52.5</v>
      </c>
      <c r="E45" s="10">
        <v>34</v>
      </c>
      <c r="F45" s="11">
        <v>17.9</v>
      </c>
      <c r="G45" s="10">
        <v>79.4</v>
      </c>
      <c r="H45" s="11">
        <v>79</v>
      </c>
      <c r="I45" s="10">
        <v>60.4</v>
      </c>
      <c r="J45" s="11">
        <v>41.1</v>
      </c>
      <c r="K45" s="10">
        <v>23</v>
      </c>
    </row>
    <row r="46" spans="1:11" s="2" customFormat="1" ht="12.75" customHeight="1">
      <c r="A46" s="13">
        <v>1986</v>
      </c>
      <c r="B46" s="11">
        <v>71.5</v>
      </c>
      <c r="C46" s="10">
        <v>71.2</v>
      </c>
      <c r="D46" s="11">
        <v>52.8</v>
      </c>
      <c r="E46" s="10">
        <v>34.3</v>
      </c>
      <c r="F46" s="11">
        <v>18.1</v>
      </c>
      <c r="G46" s="10">
        <v>79.7</v>
      </c>
      <c r="H46" s="11">
        <v>79.3</v>
      </c>
      <c r="I46" s="10">
        <v>60.7</v>
      </c>
      <c r="J46" s="11">
        <v>41.3</v>
      </c>
      <c r="K46" s="10">
        <v>23.2</v>
      </c>
    </row>
    <row r="47" spans="1:11" s="2" customFormat="1" ht="12.75" customHeight="1">
      <c r="A47" s="13">
        <v>1987</v>
      </c>
      <c r="B47" s="11">
        <v>72</v>
      </c>
      <c r="C47" s="10">
        <v>71.7</v>
      </c>
      <c r="D47" s="11">
        <v>53.2</v>
      </c>
      <c r="E47" s="10">
        <v>34.7</v>
      </c>
      <c r="F47" s="11">
        <v>18.4</v>
      </c>
      <c r="G47" s="10">
        <v>80.3</v>
      </c>
      <c r="H47" s="11">
        <v>79.8</v>
      </c>
      <c r="I47" s="10">
        <v>61.2</v>
      </c>
      <c r="J47" s="11">
        <v>41.8</v>
      </c>
      <c r="K47" s="10">
        <v>23.7</v>
      </c>
    </row>
    <row r="48" spans="1:11" s="2" customFormat="1" ht="12.75" customHeight="1">
      <c r="A48" s="13">
        <v>1988</v>
      </c>
      <c r="B48" s="11">
        <v>72.3</v>
      </c>
      <c r="C48" s="10">
        <v>72</v>
      </c>
      <c r="D48" s="11">
        <v>53.5</v>
      </c>
      <c r="E48" s="10">
        <v>35.1</v>
      </c>
      <c r="F48" s="11">
        <v>18.7</v>
      </c>
      <c r="G48" s="10">
        <v>80.5</v>
      </c>
      <c r="H48" s="11">
        <v>80</v>
      </c>
      <c r="I48" s="10">
        <v>61.3</v>
      </c>
      <c r="J48" s="11">
        <v>42</v>
      </c>
      <c r="K48" s="10">
        <v>23.8</v>
      </c>
    </row>
    <row r="49" spans="1:11" s="2" customFormat="1" ht="12.75" customHeight="1">
      <c r="A49" s="13">
        <v>1989</v>
      </c>
      <c r="B49" s="11">
        <v>72.5</v>
      </c>
      <c r="C49" s="10">
        <v>72.1</v>
      </c>
      <c r="D49" s="11">
        <v>53.6</v>
      </c>
      <c r="E49" s="10">
        <v>35.2</v>
      </c>
      <c r="F49" s="11">
        <v>18.8</v>
      </c>
      <c r="G49" s="10">
        <v>80.6</v>
      </c>
      <c r="H49" s="11">
        <v>80.2</v>
      </c>
      <c r="I49" s="10">
        <v>61.5</v>
      </c>
      <c r="J49" s="11">
        <v>42.2</v>
      </c>
      <c r="K49" s="10">
        <v>24</v>
      </c>
    </row>
    <row r="50" spans="1:11" s="2" customFormat="1" ht="12.75" customHeight="1">
      <c r="A50" s="13">
        <v>1990</v>
      </c>
      <c r="B50" s="11">
        <v>72.7</v>
      </c>
      <c r="C50" s="10">
        <v>72.4</v>
      </c>
      <c r="D50" s="11">
        <v>53.9</v>
      </c>
      <c r="E50" s="10">
        <v>35.5</v>
      </c>
      <c r="F50" s="11">
        <v>19</v>
      </c>
      <c r="G50" s="10">
        <v>81</v>
      </c>
      <c r="H50" s="11">
        <v>80.5</v>
      </c>
      <c r="I50" s="10">
        <v>61.8</v>
      </c>
      <c r="J50" s="11">
        <v>42.5</v>
      </c>
      <c r="K50" s="10">
        <v>24.2</v>
      </c>
    </row>
    <row r="51" spans="1:11" s="2" customFormat="1" ht="12.75" customHeight="1">
      <c r="A51" s="13">
        <v>1991</v>
      </c>
      <c r="B51" s="11">
        <v>72.9</v>
      </c>
      <c r="C51" s="10">
        <v>72.5</v>
      </c>
      <c r="D51" s="11">
        <v>54</v>
      </c>
      <c r="E51" s="10">
        <v>35.7</v>
      </c>
      <c r="F51" s="11">
        <v>19.2</v>
      </c>
      <c r="G51" s="10">
        <v>81.2</v>
      </c>
      <c r="H51" s="11">
        <v>80.7</v>
      </c>
      <c r="I51" s="10">
        <v>62</v>
      </c>
      <c r="J51" s="11">
        <v>42.7</v>
      </c>
      <c r="K51" s="10">
        <v>24.4</v>
      </c>
    </row>
    <row r="52" spans="1:11" s="2" customFormat="1" ht="12.75" customHeight="1">
      <c r="A52" s="13">
        <v>1992</v>
      </c>
      <c r="B52" s="11">
        <v>73.2</v>
      </c>
      <c r="C52" s="10">
        <v>72.7</v>
      </c>
      <c r="D52" s="11">
        <v>54.2</v>
      </c>
      <c r="E52" s="10">
        <v>35.9</v>
      </c>
      <c r="F52" s="11">
        <v>19.3</v>
      </c>
      <c r="G52" s="10">
        <v>81.5</v>
      </c>
      <c r="H52" s="11">
        <v>80.9</v>
      </c>
      <c r="I52" s="10">
        <v>62.2</v>
      </c>
      <c r="J52" s="11">
        <v>42.9</v>
      </c>
      <c r="K52" s="10">
        <v>24.7</v>
      </c>
    </row>
    <row r="53" spans="1:11" s="2" customFormat="1" ht="12.75" customHeight="1">
      <c r="A53" s="13">
        <v>1993</v>
      </c>
      <c r="B53" s="11">
        <v>73.3</v>
      </c>
      <c r="C53" s="10">
        <v>72.8</v>
      </c>
      <c r="D53" s="11">
        <v>54.3</v>
      </c>
      <c r="E53" s="10">
        <v>36</v>
      </c>
      <c r="F53" s="11">
        <v>19.4</v>
      </c>
      <c r="G53" s="10">
        <v>81.5</v>
      </c>
      <c r="H53" s="11">
        <v>80.9</v>
      </c>
      <c r="I53" s="10">
        <v>62.2</v>
      </c>
      <c r="J53" s="11">
        <v>42.9</v>
      </c>
      <c r="K53" s="10">
        <v>24.6</v>
      </c>
    </row>
    <row r="54" spans="1:11" s="2" customFormat="1" ht="12.75" customHeight="1">
      <c r="A54" s="13">
        <v>1994</v>
      </c>
      <c r="B54" s="11">
        <v>73.7</v>
      </c>
      <c r="C54" s="10">
        <v>73.2</v>
      </c>
      <c r="D54" s="11">
        <v>54.6</v>
      </c>
      <c r="E54" s="10">
        <v>36.3</v>
      </c>
      <c r="F54" s="11">
        <v>19.7</v>
      </c>
      <c r="G54" s="10">
        <v>81.9</v>
      </c>
      <c r="H54" s="11">
        <v>81.3</v>
      </c>
      <c r="I54" s="10">
        <v>62.6</v>
      </c>
      <c r="J54" s="11">
        <v>43.3</v>
      </c>
      <c r="K54" s="10">
        <v>25</v>
      </c>
    </row>
    <row r="55" spans="1:11" s="2" customFormat="1" ht="12.75" customHeight="1">
      <c r="A55" s="13">
        <v>1995</v>
      </c>
      <c r="B55" s="11">
        <v>73.9</v>
      </c>
      <c r="C55" s="10">
        <v>73.3</v>
      </c>
      <c r="D55" s="11">
        <v>54.7</v>
      </c>
      <c r="E55" s="10">
        <v>36.3</v>
      </c>
      <c r="F55" s="11">
        <v>19.7</v>
      </c>
      <c r="G55" s="10">
        <v>81.9</v>
      </c>
      <c r="H55" s="11">
        <v>81.3</v>
      </c>
      <c r="I55" s="10">
        <v>62.6</v>
      </c>
      <c r="J55" s="11">
        <v>43.3</v>
      </c>
      <c r="K55" s="10">
        <v>24.9</v>
      </c>
    </row>
    <row r="56" spans="1:11" s="2" customFormat="1" ht="12.75" customHeight="1">
      <c r="A56" s="13">
        <v>1996</v>
      </c>
      <c r="B56" s="11">
        <v>74.1</v>
      </c>
      <c r="C56" s="10">
        <v>73.5</v>
      </c>
      <c r="D56" s="11">
        <v>54.9</v>
      </c>
      <c r="E56" s="10">
        <v>36.4</v>
      </c>
      <c r="F56" s="11">
        <v>19.7</v>
      </c>
      <c r="G56" s="10">
        <v>82.1</v>
      </c>
      <c r="H56" s="11">
        <v>81.4</v>
      </c>
      <c r="I56" s="10">
        <v>62.7</v>
      </c>
      <c r="J56" s="11">
        <v>43.3</v>
      </c>
      <c r="K56" s="10">
        <v>25</v>
      </c>
    </row>
    <row r="57" spans="1:11" s="2" customFormat="1" ht="12.75" customHeight="1">
      <c r="A57" s="13">
        <v>1997</v>
      </c>
      <c r="B57" s="11">
        <v>74.6</v>
      </c>
      <c r="C57" s="10">
        <v>74</v>
      </c>
      <c r="D57" s="11">
        <v>55.4</v>
      </c>
      <c r="E57" s="10">
        <v>36.7</v>
      </c>
      <c r="F57" s="11">
        <v>19.9</v>
      </c>
      <c r="G57" s="10">
        <v>82.3</v>
      </c>
      <c r="H57" s="11">
        <v>81.7</v>
      </c>
      <c r="I57" s="10">
        <v>62.9</v>
      </c>
      <c r="J57" s="11">
        <v>43.5</v>
      </c>
      <c r="K57" s="10">
        <v>25.2</v>
      </c>
    </row>
    <row r="58" spans="1:11" s="2" customFormat="1" ht="12.75" customHeight="1">
      <c r="A58" s="13">
        <v>1998</v>
      </c>
      <c r="B58" s="11">
        <v>74.8</v>
      </c>
      <c r="C58" s="10">
        <v>74.2</v>
      </c>
      <c r="D58" s="11">
        <v>55.5</v>
      </c>
      <c r="E58" s="10">
        <v>36.8</v>
      </c>
      <c r="F58" s="11">
        <v>20</v>
      </c>
      <c r="G58" s="10">
        <v>82.4</v>
      </c>
      <c r="H58" s="11">
        <v>81.8</v>
      </c>
      <c r="I58" s="10">
        <v>63</v>
      </c>
      <c r="J58" s="11">
        <v>43.6</v>
      </c>
      <c r="K58" s="10">
        <v>25.3</v>
      </c>
    </row>
    <row r="59" spans="1:11" s="2" customFormat="1" ht="12.75" customHeight="1">
      <c r="A59" s="13">
        <v>1999</v>
      </c>
      <c r="B59" s="11">
        <v>75</v>
      </c>
      <c r="C59" s="10">
        <v>74.4</v>
      </c>
      <c r="D59" s="11">
        <v>55.8</v>
      </c>
      <c r="E59" s="10">
        <v>37</v>
      </c>
      <c r="F59" s="11">
        <v>20.2</v>
      </c>
      <c r="G59" s="10">
        <v>82.5</v>
      </c>
      <c r="H59" s="11">
        <v>81.8</v>
      </c>
      <c r="I59" s="10">
        <v>63.1</v>
      </c>
      <c r="J59" s="11">
        <v>43.7</v>
      </c>
      <c r="K59" s="10">
        <v>25.3</v>
      </c>
    </row>
    <row r="60" spans="1:11" s="2" customFormat="1" ht="12.75" customHeight="1">
      <c r="A60" s="13">
        <v>2000</v>
      </c>
      <c r="B60" s="11">
        <v>75.3</v>
      </c>
      <c r="C60" s="10">
        <v>74.7</v>
      </c>
      <c r="D60" s="11">
        <v>56.1</v>
      </c>
      <c r="E60" s="10">
        <v>37.3</v>
      </c>
      <c r="F60" s="11">
        <v>20.5</v>
      </c>
      <c r="G60" s="10">
        <v>82.8</v>
      </c>
      <c r="H60" s="11">
        <v>82.1</v>
      </c>
      <c r="I60" s="10">
        <v>63.4</v>
      </c>
      <c r="J60" s="11">
        <v>43.9</v>
      </c>
      <c r="K60" s="10">
        <v>25.6</v>
      </c>
    </row>
    <row r="61" spans="1:11" s="2" customFormat="1" ht="12.75" customHeight="1">
      <c r="A61" s="13">
        <v>2001</v>
      </c>
      <c r="B61" s="11">
        <v>75.5</v>
      </c>
      <c r="C61" s="10">
        <v>74.9</v>
      </c>
      <c r="D61" s="11">
        <v>56.3</v>
      </c>
      <c r="E61" s="10">
        <v>37.5</v>
      </c>
      <c r="F61" s="11">
        <v>20.7</v>
      </c>
      <c r="G61" s="10">
        <v>82.9</v>
      </c>
      <c r="H61" s="11">
        <v>82.3</v>
      </c>
      <c r="I61" s="10">
        <v>63.5</v>
      </c>
      <c r="J61" s="11">
        <v>44.1</v>
      </c>
      <c r="K61" s="10">
        <v>25.7</v>
      </c>
    </row>
    <row r="62" spans="1:11" s="2" customFormat="1" ht="12.75" customHeight="1">
      <c r="A62" s="13">
        <v>2002</v>
      </c>
      <c r="B62" s="11">
        <v>75.8</v>
      </c>
      <c r="C62" s="10">
        <v>75.1</v>
      </c>
      <c r="D62" s="11">
        <v>56.5</v>
      </c>
      <c r="E62" s="10">
        <v>37.6</v>
      </c>
      <c r="F62" s="11">
        <v>20.8</v>
      </c>
      <c r="G62" s="10">
        <v>83.1</v>
      </c>
      <c r="H62" s="11">
        <v>82.4</v>
      </c>
      <c r="I62" s="10">
        <v>63.6</v>
      </c>
      <c r="J62" s="11">
        <v>44.1</v>
      </c>
      <c r="K62" s="10">
        <v>25.8</v>
      </c>
    </row>
    <row r="63" spans="1:11" s="2" customFormat="1" ht="12.75" customHeight="1">
      <c r="A63" s="13">
        <v>2003</v>
      </c>
      <c r="B63" s="11">
        <v>75.9</v>
      </c>
      <c r="C63" s="10">
        <v>75.2</v>
      </c>
      <c r="D63" s="11">
        <v>56.5</v>
      </c>
      <c r="E63" s="10">
        <v>37.7</v>
      </c>
      <c r="F63" s="11">
        <v>20.8</v>
      </c>
      <c r="G63" s="10">
        <v>83</v>
      </c>
      <c r="H63" s="11">
        <v>82.3</v>
      </c>
      <c r="I63" s="10">
        <v>63.5</v>
      </c>
      <c r="J63" s="11">
        <v>44</v>
      </c>
      <c r="K63" s="10">
        <v>25.6</v>
      </c>
    </row>
    <row r="64" spans="1:11" s="2" customFormat="1" ht="12.75" customHeight="1">
      <c r="A64" s="13">
        <v>2004</v>
      </c>
      <c r="B64" s="11">
        <v>76.7</v>
      </c>
      <c r="C64" s="10">
        <v>76.1</v>
      </c>
      <c r="D64" s="11">
        <v>57.4</v>
      </c>
      <c r="E64" s="10">
        <v>38.4</v>
      </c>
      <c r="F64" s="11">
        <v>21.5</v>
      </c>
      <c r="G64" s="10">
        <v>83.9</v>
      </c>
      <c r="H64" s="11">
        <v>83.2</v>
      </c>
      <c r="I64" s="10">
        <v>64.4</v>
      </c>
      <c r="J64" s="11">
        <v>44.9</v>
      </c>
      <c r="K64" s="10">
        <v>26.5</v>
      </c>
    </row>
    <row r="65" spans="1:11" s="2" customFormat="1" ht="12.75" customHeight="1">
      <c r="A65" s="13">
        <v>2005</v>
      </c>
      <c r="B65" s="11">
        <v>76.8</v>
      </c>
      <c r="C65" s="10">
        <v>76.1</v>
      </c>
      <c r="D65" s="11">
        <v>57.4</v>
      </c>
      <c r="E65" s="10">
        <v>38.4</v>
      </c>
      <c r="F65" s="11">
        <v>21.5</v>
      </c>
      <c r="G65" s="10">
        <v>83.9</v>
      </c>
      <c r="H65" s="11">
        <v>83.1</v>
      </c>
      <c r="I65" s="10">
        <v>64.3</v>
      </c>
      <c r="J65" s="11">
        <v>44.8</v>
      </c>
      <c r="K65" s="10">
        <v>26.4</v>
      </c>
    </row>
    <row r="66" spans="1:11" s="2" customFormat="1" ht="12.75" customHeight="1">
      <c r="A66" s="13">
        <v>2006</v>
      </c>
      <c r="B66" s="11">
        <v>77.2</v>
      </c>
      <c r="C66" s="10">
        <v>76.5</v>
      </c>
      <c r="D66" s="11">
        <v>57.8</v>
      </c>
      <c r="E66" s="10">
        <v>38.8</v>
      </c>
      <c r="F66" s="11">
        <v>21.8</v>
      </c>
      <c r="G66" s="10">
        <v>84.2</v>
      </c>
      <c r="H66" s="11">
        <v>83.5</v>
      </c>
      <c r="I66" s="10">
        <v>64.7</v>
      </c>
      <c r="J66" s="11">
        <v>45.1</v>
      </c>
      <c r="K66" s="10">
        <v>26.8</v>
      </c>
    </row>
    <row r="67" spans="1:11" s="2" customFormat="1" ht="12.75" customHeight="1">
      <c r="A67" s="13">
        <v>2007</v>
      </c>
      <c r="B67" s="11">
        <v>77.4</v>
      </c>
      <c r="C67" s="10">
        <v>76.8</v>
      </c>
      <c r="D67" s="11">
        <v>58</v>
      </c>
      <c r="E67" s="10">
        <v>39</v>
      </c>
      <c r="F67" s="11">
        <v>21.9</v>
      </c>
      <c r="G67" s="10">
        <v>84.4</v>
      </c>
      <c r="H67" s="11">
        <v>83.7</v>
      </c>
      <c r="I67" s="10">
        <v>64.9</v>
      </c>
      <c r="J67" s="11">
        <v>45.3</v>
      </c>
      <c r="K67" s="10">
        <v>26.9</v>
      </c>
    </row>
    <row r="68" spans="1:11" s="2" customFormat="1" ht="12.75" customHeight="1">
      <c r="A68" s="13">
        <v>2008</v>
      </c>
      <c r="B68" s="11">
        <v>77.6</v>
      </c>
      <c r="C68" s="10">
        <v>76.9</v>
      </c>
      <c r="D68" s="11">
        <v>58.2</v>
      </c>
      <c r="E68" s="10">
        <v>39.2</v>
      </c>
      <c r="F68" s="11">
        <v>22</v>
      </c>
      <c r="G68" s="10">
        <v>84.4</v>
      </c>
      <c r="H68" s="11">
        <v>83.6</v>
      </c>
      <c r="I68" s="10">
        <v>64.8</v>
      </c>
      <c r="J68" s="11">
        <v>45.3</v>
      </c>
      <c r="K68" s="10">
        <v>26.9</v>
      </c>
    </row>
    <row r="69" spans="1:11" s="2" customFormat="1" ht="12.75" customHeight="1">
      <c r="A69" s="13">
        <v>2009</v>
      </c>
      <c r="B69" s="11">
        <v>77.8</v>
      </c>
      <c r="C69" s="10">
        <v>77.1</v>
      </c>
      <c r="D69" s="11">
        <v>58.4</v>
      </c>
      <c r="E69" s="10">
        <v>39.3</v>
      </c>
      <c r="F69" s="11">
        <v>22.2</v>
      </c>
      <c r="G69" s="10">
        <v>84.5</v>
      </c>
      <c r="H69" s="11">
        <v>83.7</v>
      </c>
      <c r="I69" s="10">
        <v>64.9</v>
      </c>
      <c r="J69" s="11">
        <v>45.4</v>
      </c>
      <c r="K69" s="10">
        <v>27</v>
      </c>
    </row>
    <row r="70" spans="1:11" s="2" customFormat="1" ht="12.75" customHeight="1">
      <c r="A70" s="12" t="s">
        <v>19</v>
      </c>
      <c r="B70" s="11">
        <v>78</v>
      </c>
      <c r="C70" s="10">
        <v>77.3</v>
      </c>
      <c r="D70" s="11">
        <v>58.6</v>
      </c>
      <c r="E70" s="10">
        <v>39.5</v>
      </c>
      <c r="F70" s="11">
        <v>22.4</v>
      </c>
      <c r="G70" s="10">
        <v>84.7</v>
      </c>
      <c r="H70" s="11">
        <v>84</v>
      </c>
      <c r="I70" s="10">
        <v>65.1</v>
      </c>
      <c r="J70" s="11">
        <v>45.5</v>
      </c>
      <c r="K70" s="10">
        <v>27.1</v>
      </c>
    </row>
    <row r="71" spans="1:11" s="2" customFormat="1" ht="12.75" customHeight="1">
      <c r="A71" s="12" t="s">
        <v>18</v>
      </c>
      <c r="B71" s="11">
        <v>78.4</v>
      </c>
      <c r="C71" s="10">
        <v>77.7</v>
      </c>
      <c r="D71" s="11">
        <v>59</v>
      </c>
      <c r="E71" s="10">
        <v>39.9</v>
      </c>
      <c r="F71" s="11">
        <v>22.7</v>
      </c>
      <c r="G71" s="10">
        <v>85</v>
      </c>
      <c r="H71" s="11">
        <v>84.3</v>
      </c>
      <c r="I71" s="10">
        <v>65.4</v>
      </c>
      <c r="J71" s="11">
        <v>45.8</v>
      </c>
      <c r="K71" s="10">
        <v>27.4</v>
      </c>
    </row>
    <row r="72" spans="1:11" s="2" customFormat="1" ht="12.75" customHeight="1">
      <c r="A72" s="9" t="s">
        <v>17</v>
      </c>
      <c r="B72" s="8">
        <v>78.5</v>
      </c>
      <c r="C72" s="7">
        <v>77.8</v>
      </c>
      <c r="D72" s="8">
        <v>59</v>
      </c>
      <c r="E72" s="7">
        <v>39.9</v>
      </c>
      <c r="F72" s="8">
        <v>22.6</v>
      </c>
      <c r="G72" s="7">
        <v>84.9</v>
      </c>
      <c r="H72" s="8">
        <v>84.1</v>
      </c>
      <c r="I72" s="7">
        <v>65.3</v>
      </c>
      <c r="J72" s="8">
        <v>45.7</v>
      </c>
      <c r="K72" s="7">
        <v>27.2</v>
      </c>
    </row>
    <row r="73" spans="1:11" s="2" customFormat="1" ht="12.75" customHeight="1">
      <c r="A73" s="6" t="s">
        <v>16</v>
      </c>
      <c r="B73" s="5"/>
      <c r="C73" s="4"/>
      <c r="D73" s="4"/>
      <c r="E73" s="4"/>
      <c r="F73" s="4"/>
      <c r="G73" s="4"/>
      <c r="H73" s="4"/>
      <c r="I73" s="4"/>
      <c r="J73" s="4"/>
      <c r="K73" s="4"/>
    </row>
    <row r="74" spans="1:11" s="2" customFormat="1" ht="12.75" customHeight="1">
      <c r="A74" s="2" t="s">
        <v>15</v>
      </c>
      <c r="B74" s="5"/>
      <c r="C74" s="4"/>
      <c r="D74" s="4"/>
      <c r="E74" s="4"/>
      <c r="F74" s="4"/>
      <c r="G74" s="4"/>
      <c r="H74" s="4"/>
      <c r="I74" s="4"/>
      <c r="J74" s="4"/>
      <c r="K74" s="4"/>
    </row>
    <row r="75" s="3" customFormat="1" ht="12.75" customHeight="1">
      <c r="A75" s="3" t="s">
        <v>14</v>
      </c>
    </row>
  </sheetData>
  <sheetProtection/>
  <mergeCells count="3">
    <mergeCell ref="B4:F4"/>
    <mergeCell ref="G4:K4"/>
    <mergeCell ref="A4:A5"/>
  </mergeCells>
  <printOptions horizontalCentered="1"/>
  <pageMargins left="0.5905511811023623" right="0.5905511811023623" top="0.984251968503937" bottom="0.984251968503937" header="0.5118110236220472" footer="0.5118110236220472"/>
  <pageSetup fitToHeight="2"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M33"/>
  <sheetViews>
    <sheetView zoomScalePageLayoutView="0" workbookViewId="0" topLeftCell="A1">
      <pane xSplit="1" ySplit="7" topLeftCell="B10" activePane="bottomRight" state="frozen"/>
      <selection pane="topLeft" activeCell="A1" sqref="A1"/>
      <selection pane="topRight" activeCell="B1" sqref="B1"/>
      <selection pane="bottomLeft" activeCell="A8" sqref="A8"/>
      <selection pane="bottomRight" activeCell="C13" sqref="C13"/>
    </sheetView>
  </sheetViews>
  <sheetFormatPr defaultColWidth="9.140625" defaultRowHeight="15"/>
  <cols>
    <col min="1" max="1" width="30.7109375" style="22" customWidth="1"/>
    <col min="2" max="4" width="15.7109375" style="22" customWidth="1"/>
    <col min="5" max="5" width="11.28125" style="22" customWidth="1"/>
    <col min="6" max="10" width="15.7109375" style="22" customWidth="1"/>
    <col min="11" max="11" width="12.7109375" style="22" customWidth="1"/>
    <col min="12" max="13" width="15.7109375" style="22" customWidth="1"/>
    <col min="14" max="16384" width="9.140625" style="22" customWidth="1"/>
  </cols>
  <sheetData>
    <row r="1" spans="1:13" ht="15.75">
      <c r="A1" s="46" t="s">
        <v>61</v>
      </c>
      <c r="B1" s="45"/>
      <c r="C1" s="45"/>
      <c r="D1" s="45"/>
      <c r="E1" s="45"/>
      <c r="F1" s="45"/>
      <c r="G1" s="45"/>
      <c r="H1" s="45"/>
      <c r="I1" s="45"/>
      <c r="J1" s="45"/>
      <c r="K1" s="45"/>
      <c r="L1" s="45"/>
      <c r="M1" s="44"/>
    </row>
    <row r="2" spans="1:13" ht="12.75">
      <c r="A2" s="32" t="s">
        <v>60</v>
      </c>
      <c r="B2" s="43"/>
      <c r="C2" s="43"/>
      <c r="D2" s="43"/>
      <c r="E2" s="43"/>
      <c r="F2" s="43"/>
      <c r="G2" s="43"/>
      <c r="H2" s="43"/>
      <c r="I2" s="43"/>
      <c r="J2" s="43"/>
      <c r="K2" s="43"/>
      <c r="L2" s="43"/>
      <c r="M2" s="42"/>
    </row>
    <row r="3" spans="1:13" ht="12.75">
      <c r="A3" s="32" t="s">
        <v>59</v>
      </c>
      <c r="B3" s="43"/>
      <c r="C3" s="43"/>
      <c r="D3" s="43"/>
      <c r="E3" s="43"/>
      <c r="F3" s="43"/>
      <c r="G3" s="43"/>
      <c r="H3" s="43"/>
      <c r="I3" s="43"/>
      <c r="J3" s="43"/>
      <c r="K3" s="43"/>
      <c r="L3" s="43"/>
      <c r="M3" s="42"/>
    </row>
    <row r="4" spans="1:13" ht="12.75">
      <c r="A4" s="32"/>
      <c r="B4" s="43"/>
      <c r="C4" s="43"/>
      <c r="D4" s="43"/>
      <c r="E4" s="43"/>
      <c r="F4" s="43"/>
      <c r="G4" s="43"/>
      <c r="H4" s="43"/>
      <c r="I4" s="43"/>
      <c r="J4" s="43"/>
      <c r="K4" s="43"/>
      <c r="L4" s="43"/>
      <c r="M4" s="42"/>
    </row>
    <row r="5" spans="1:13" ht="12.75">
      <c r="A5" s="41" t="s">
        <v>58</v>
      </c>
      <c r="B5" s="217" t="s">
        <v>57</v>
      </c>
      <c r="C5" s="218"/>
      <c r="D5" s="218"/>
      <c r="E5" s="218"/>
      <c r="F5" s="218"/>
      <c r="G5" s="219"/>
      <c r="H5" s="217" t="s">
        <v>56</v>
      </c>
      <c r="I5" s="220"/>
      <c r="J5" s="220"/>
      <c r="K5" s="220"/>
      <c r="L5" s="220"/>
      <c r="M5" s="221"/>
    </row>
    <row r="6" spans="1:13" ht="51">
      <c r="A6" s="41" t="s">
        <v>55</v>
      </c>
      <c r="B6" s="40" t="s">
        <v>48</v>
      </c>
      <c r="C6" s="39" t="s">
        <v>54</v>
      </c>
      <c r="D6" s="39" t="s">
        <v>53</v>
      </c>
      <c r="E6" s="39" t="s">
        <v>52</v>
      </c>
      <c r="F6" s="39" t="s">
        <v>51</v>
      </c>
      <c r="G6" s="38" t="s">
        <v>50</v>
      </c>
      <c r="H6" s="40" t="s">
        <v>48</v>
      </c>
      <c r="I6" s="39" t="s">
        <v>54</v>
      </c>
      <c r="J6" s="39" t="s">
        <v>53</v>
      </c>
      <c r="K6" s="39" t="s">
        <v>52</v>
      </c>
      <c r="L6" s="39" t="s">
        <v>51</v>
      </c>
      <c r="M6" s="38" t="s">
        <v>50</v>
      </c>
    </row>
    <row r="7" spans="1:13" ht="12.75">
      <c r="A7" s="37" t="s">
        <v>49</v>
      </c>
      <c r="B7" s="36"/>
      <c r="C7" s="35"/>
      <c r="D7" s="35"/>
      <c r="E7" s="35"/>
      <c r="F7" s="35"/>
      <c r="G7" s="34"/>
      <c r="H7" s="36"/>
      <c r="I7" s="35"/>
      <c r="J7" s="35"/>
      <c r="K7" s="35"/>
      <c r="L7" s="35"/>
      <c r="M7" s="34"/>
    </row>
    <row r="8" spans="1:13" ht="12.75">
      <c r="A8" s="33" t="s">
        <v>48</v>
      </c>
      <c r="B8" s="31">
        <v>18.5</v>
      </c>
      <c r="C8" s="30">
        <v>34.4</v>
      </c>
      <c r="D8" s="30">
        <v>19.2</v>
      </c>
      <c r="E8" s="30">
        <v>13.5</v>
      </c>
      <c r="F8" s="30">
        <v>14.1</v>
      </c>
      <c r="G8" s="29">
        <v>12.5</v>
      </c>
      <c r="H8" s="31">
        <v>15812261.5</v>
      </c>
      <c r="I8" s="30">
        <v>2826631.2</v>
      </c>
      <c r="J8" s="30">
        <v>3185775.3</v>
      </c>
      <c r="K8" s="30">
        <v>2209759.6</v>
      </c>
      <c r="L8" s="30">
        <v>5734467.7</v>
      </c>
      <c r="M8" s="29">
        <v>1855627.8</v>
      </c>
    </row>
    <row r="9" spans="1:13" ht="12.75">
      <c r="A9" s="32" t="s">
        <v>47</v>
      </c>
      <c r="B9" s="31">
        <v>9.9</v>
      </c>
      <c r="C9" s="30">
        <v>25.4</v>
      </c>
      <c r="D9" s="30">
        <v>15.2</v>
      </c>
      <c r="E9" s="30">
        <v>9.9</v>
      </c>
      <c r="F9" s="30">
        <v>9.3</v>
      </c>
      <c r="G9" s="29">
        <v>9.5</v>
      </c>
      <c r="H9" s="31">
        <v>5193.4</v>
      </c>
      <c r="I9" s="30">
        <v>40.3</v>
      </c>
      <c r="J9" s="30">
        <v>237.5</v>
      </c>
      <c r="K9" s="30">
        <v>1147.6</v>
      </c>
      <c r="L9" s="30">
        <v>1618</v>
      </c>
      <c r="M9" s="29">
        <v>2150.1</v>
      </c>
    </row>
    <row r="10" spans="1:13" ht="12.75">
      <c r="A10" s="32" t="s">
        <v>46</v>
      </c>
      <c r="B10" s="31">
        <v>10.5</v>
      </c>
      <c r="C10" s="30">
        <v>14.3</v>
      </c>
      <c r="D10" s="30">
        <v>13.7</v>
      </c>
      <c r="E10" s="30">
        <v>10.3</v>
      </c>
      <c r="F10" s="30">
        <v>10.5</v>
      </c>
      <c r="G10" s="29">
        <v>10.4</v>
      </c>
      <c r="H10" s="31">
        <v>185630.1</v>
      </c>
      <c r="I10" s="30">
        <v>276.2</v>
      </c>
      <c r="J10" s="30">
        <v>6339.6</v>
      </c>
      <c r="K10" s="30">
        <v>39609.3</v>
      </c>
      <c r="L10" s="30">
        <v>80058.9</v>
      </c>
      <c r="M10" s="29">
        <v>59346.2</v>
      </c>
    </row>
    <row r="11" spans="1:13" ht="12.75">
      <c r="A11" s="32" t="s">
        <v>45</v>
      </c>
      <c r="B11" s="31">
        <v>12.3</v>
      </c>
      <c r="C11" s="30">
        <v>18.4</v>
      </c>
      <c r="D11" s="30">
        <v>14.6</v>
      </c>
      <c r="E11" s="79">
        <v>11.2</v>
      </c>
      <c r="F11" s="30">
        <v>11.9</v>
      </c>
      <c r="G11" s="29">
        <v>11.1</v>
      </c>
      <c r="H11" s="31">
        <v>1406876.7</v>
      </c>
      <c r="I11" s="30">
        <v>67487.4</v>
      </c>
      <c r="J11" s="30">
        <v>204792.2</v>
      </c>
      <c r="K11" s="30">
        <v>300930.8</v>
      </c>
      <c r="L11" s="30">
        <v>568847.2</v>
      </c>
      <c r="M11" s="29">
        <v>264819.2</v>
      </c>
    </row>
    <row r="12" spans="1:13" ht="12.75">
      <c r="A12" s="32" t="s">
        <v>44</v>
      </c>
      <c r="B12" s="31">
        <v>15</v>
      </c>
      <c r="C12" s="30">
        <v>23</v>
      </c>
      <c r="D12" s="30">
        <v>16.7</v>
      </c>
      <c r="E12" s="30">
        <v>12.6</v>
      </c>
      <c r="F12" s="30">
        <v>13</v>
      </c>
      <c r="G12" s="29">
        <v>11.9</v>
      </c>
      <c r="H12" s="31">
        <v>2168925.4</v>
      </c>
      <c r="I12" s="30">
        <v>305899.8</v>
      </c>
      <c r="J12" s="30">
        <v>440800.1</v>
      </c>
      <c r="K12" s="30">
        <v>393846.4</v>
      </c>
      <c r="L12" s="30">
        <v>757391.2</v>
      </c>
      <c r="M12" s="29">
        <v>270988</v>
      </c>
    </row>
    <row r="13" spans="1:13" ht="12.75">
      <c r="A13" s="32" t="s">
        <v>43</v>
      </c>
      <c r="B13" s="31">
        <v>17.2</v>
      </c>
      <c r="C13" s="30">
        <v>28.6</v>
      </c>
      <c r="D13" s="30">
        <v>18</v>
      </c>
      <c r="E13" s="30">
        <v>13.4</v>
      </c>
      <c r="F13" s="30">
        <v>13.8</v>
      </c>
      <c r="G13" s="29">
        <v>12.4</v>
      </c>
      <c r="H13" s="31">
        <v>2138657.2</v>
      </c>
      <c r="I13" s="30">
        <v>393364.5</v>
      </c>
      <c r="J13" s="30">
        <v>452462.8</v>
      </c>
      <c r="K13" s="30">
        <v>327072.3</v>
      </c>
      <c r="L13" s="30">
        <v>730408</v>
      </c>
      <c r="M13" s="29">
        <v>235349.5</v>
      </c>
    </row>
    <row r="14" spans="1:13" ht="12.75">
      <c r="A14" s="32" t="s">
        <v>42</v>
      </c>
      <c r="B14" s="31">
        <v>18.8</v>
      </c>
      <c r="C14" s="30">
        <v>32.9</v>
      </c>
      <c r="D14" s="30">
        <v>19.1</v>
      </c>
      <c r="E14" s="30">
        <v>14</v>
      </c>
      <c r="F14" s="30">
        <v>14.3</v>
      </c>
      <c r="G14" s="29">
        <v>12.7</v>
      </c>
      <c r="H14" s="31">
        <v>2374534.3</v>
      </c>
      <c r="I14" s="30">
        <v>476056.3</v>
      </c>
      <c r="J14" s="30">
        <v>487717.6</v>
      </c>
      <c r="K14" s="30">
        <v>311891.4</v>
      </c>
      <c r="L14" s="30">
        <v>846175.7</v>
      </c>
      <c r="M14" s="29">
        <v>252693.2</v>
      </c>
    </row>
    <row r="15" spans="1:13" ht="12.75">
      <c r="A15" s="32" t="s">
        <v>41</v>
      </c>
      <c r="B15" s="31">
        <v>19.9</v>
      </c>
      <c r="C15" s="30">
        <v>36.6</v>
      </c>
      <c r="D15" s="30">
        <v>20.2</v>
      </c>
      <c r="E15" s="30">
        <v>14.4</v>
      </c>
      <c r="F15" s="30">
        <v>14.7</v>
      </c>
      <c r="G15" s="29">
        <v>12.9</v>
      </c>
      <c r="H15" s="31">
        <v>2281135.8</v>
      </c>
      <c r="I15" s="30">
        <v>451453.5</v>
      </c>
      <c r="J15" s="30">
        <v>457548.9</v>
      </c>
      <c r="K15" s="30">
        <v>257490.8</v>
      </c>
      <c r="L15" s="30">
        <v>868715.1</v>
      </c>
      <c r="M15" s="29">
        <v>245927.5</v>
      </c>
    </row>
    <row r="16" spans="1:13" ht="12.75">
      <c r="A16" s="32" t="s">
        <v>40</v>
      </c>
      <c r="B16" s="31">
        <v>20.6</v>
      </c>
      <c r="C16" s="30">
        <v>38.3</v>
      </c>
      <c r="D16" s="30">
        <v>20.8</v>
      </c>
      <c r="E16" s="30">
        <v>14.7</v>
      </c>
      <c r="F16" s="30">
        <v>14.9</v>
      </c>
      <c r="G16" s="29">
        <v>13.2</v>
      </c>
      <c r="H16" s="31">
        <v>2120078.9</v>
      </c>
      <c r="I16" s="30">
        <v>421137.1</v>
      </c>
      <c r="J16" s="30">
        <v>446458.3</v>
      </c>
      <c r="K16" s="30">
        <v>226683.1</v>
      </c>
      <c r="L16" s="30">
        <v>807080.6</v>
      </c>
      <c r="M16" s="29">
        <v>218719.8</v>
      </c>
    </row>
    <row r="17" spans="1:13" ht="12.75">
      <c r="A17" s="32" t="s">
        <v>39</v>
      </c>
      <c r="B17" s="31">
        <v>21</v>
      </c>
      <c r="C17" s="30">
        <v>38.8</v>
      </c>
      <c r="D17" s="30">
        <v>21.1</v>
      </c>
      <c r="E17" s="30">
        <v>15.1</v>
      </c>
      <c r="F17" s="30">
        <v>15.1</v>
      </c>
      <c r="G17" s="29">
        <v>13.5</v>
      </c>
      <c r="H17" s="31">
        <v>1851866.9</v>
      </c>
      <c r="I17" s="30">
        <v>372057.3</v>
      </c>
      <c r="J17" s="30">
        <v>418487.8</v>
      </c>
      <c r="K17" s="30">
        <v>202243.4</v>
      </c>
      <c r="L17" s="30">
        <v>676876.1</v>
      </c>
      <c r="M17" s="29">
        <v>182202.2</v>
      </c>
    </row>
    <row r="18" spans="1:13" ht="12.75">
      <c r="A18" s="32" t="s">
        <v>38</v>
      </c>
      <c r="B18" s="31">
        <v>23.5</v>
      </c>
      <c r="C18" s="30">
        <v>41.6</v>
      </c>
      <c r="D18" s="30">
        <v>22.3</v>
      </c>
      <c r="E18" s="30">
        <v>15.8</v>
      </c>
      <c r="F18" s="30">
        <v>15.6</v>
      </c>
      <c r="G18" s="29">
        <v>14</v>
      </c>
      <c r="H18" s="31">
        <v>1097019.2</v>
      </c>
      <c r="I18" s="30">
        <v>274989.3</v>
      </c>
      <c r="J18" s="30">
        <v>245035.5</v>
      </c>
      <c r="K18" s="30">
        <v>123768.8</v>
      </c>
      <c r="L18" s="30">
        <v>349215.3</v>
      </c>
      <c r="M18" s="29">
        <v>104010.4</v>
      </c>
    </row>
    <row r="19" spans="1:13" ht="12.75">
      <c r="A19" s="32" t="s">
        <v>37</v>
      </c>
      <c r="B19" s="31">
        <v>30.1</v>
      </c>
      <c r="C19" s="30">
        <v>52.6</v>
      </c>
      <c r="D19" s="30">
        <v>24.5</v>
      </c>
      <c r="E19" s="30">
        <v>15.8</v>
      </c>
      <c r="F19" s="30">
        <v>16.5</v>
      </c>
      <c r="G19" s="29">
        <v>14.5</v>
      </c>
      <c r="H19" s="31">
        <v>166732.5</v>
      </c>
      <c r="I19" s="30">
        <v>58713</v>
      </c>
      <c r="J19" s="30">
        <v>23977</v>
      </c>
      <c r="K19" s="30">
        <v>22224.2</v>
      </c>
      <c r="L19" s="30">
        <v>44205.5</v>
      </c>
      <c r="M19" s="29">
        <v>17612.8</v>
      </c>
    </row>
    <row r="20" spans="1:13" ht="12.75">
      <c r="A20" s="28" t="s">
        <v>36</v>
      </c>
      <c r="B20" s="27">
        <v>31</v>
      </c>
      <c r="C20" s="26">
        <v>59.6</v>
      </c>
      <c r="D20" s="26">
        <v>23.4</v>
      </c>
      <c r="E20" s="26">
        <v>16</v>
      </c>
      <c r="F20" s="26">
        <v>15.5</v>
      </c>
      <c r="G20" s="25">
        <v>14.3</v>
      </c>
      <c r="H20" s="27">
        <v>15611.2</v>
      </c>
      <c r="I20" s="26">
        <v>5156.6</v>
      </c>
      <c r="J20" s="26">
        <v>1918</v>
      </c>
      <c r="K20" s="26">
        <v>2851.6</v>
      </c>
      <c r="L20" s="26">
        <v>3876</v>
      </c>
      <c r="M20" s="25">
        <v>1809</v>
      </c>
    </row>
    <row r="21" spans="1:3" ht="12.75">
      <c r="A21" s="23" t="s">
        <v>35</v>
      </c>
      <c r="B21" s="23"/>
      <c r="C21" s="23"/>
    </row>
    <row r="22" spans="1:3" ht="12.75">
      <c r="A22" s="23" t="s">
        <v>34</v>
      </c>
      <c r="B22" s="23"/>
      <c r="C22" s="23"/>
    </row>
    <row r="23" spans="1:3" ht="12.75">
      <c r="A23" s="23" t="s">
        <v>33</v>
      </c>
      <c r="B23" s="23"/>
      <c r="C23" s="23"/>
    </row>
    <row r="24" spans="1:3" ht="12.75">
      <c r="A24" s="23" t="s">
        <v>32</v>
      </c>
      <c r="B24" s="23"/>
      <c r="C24" s="23"/>
    </row>
    <row r="25" spans="1:3" ht="12.75">
      <c r="A25" s="23" t="s">
        <v>31</v>
      </c>
      <c r="B25" s="23"/>
      <c r="C25" s="23"/>
    </row>
    <row r="26" spans="1:3" ht="12.75">
      <c r="A26" s="23" t="s">
        <v>30</v>
      </c>
      <c r="B26" s="23"/>
      <c r="C26" s="23"/>
    </row>
    <row r="27" ht="12.75">
      <c r="A27" s="24"/>
    </row>
    <row r="28" spans="1:3" ht="12.75">
      <c r="A28" s="23"/>
      <c r="B28" s="23"/>
      <c r="C28" s="23"/>
    </row>
    <row r="29" spans="1:2" ht="12.75">
      <c r="A29" s="22" t="s">
        <v>85</v>
      </c>
      <c r="B29" s="22">
        <v>6</v>
      </c>
    </row>
    <row r="30" spans="1:2" ht="12.75">
      <c r="A30" s="22" t="s">
        <v>86</v>
      </c>
      <c r="B30" s="22">
        <v>300</v>
      </c>
    </row>
    <row r="31" spans="1:2" ht="12.75">
      <c r="A31" s="22" t="s">
        <v>87</v>
      </c>
      <c r="B31" s="22">
        <f>E11*B30*B29</f>
        <v>20160</v>
      </c>
    </row>
    <row r="32" spans="1:2" ht="12.75">
      <c r="A32" s="22" t="s">
        <v>88</v>
      </c>
      <c r="B32" s="22">
        <f>B31/12</f>
        <v>1680</v>
      </c>
    </row>
    <row r="33" spans="1:2" ht="12.75">
      <c r="A33" s="22" t="s">
        <v>89</v>
      </c>
      <c r="B33" s="22">
        <f>0.8*B32</f>
        <v>1344</v>
      </c>
    </row>
  </sheetData>
  <sheetProtection/>
  <mergeCells count="2">
    <mergeCell ref="B5:G5"/>
    <mergeCell ref="H5:M5"/>
  </mergeCells>
  <printOptions/>
  <pageMargins left="0.787401575" right="0.787401575" top="0.984251969" bottom="0.984251969" header="0.4921259845" footer="0.4921259845"/>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L35"/>
  <sheetViews>
    <sheetView zoomScale="85" zoomScaleNormal="85" zoomScalePageLayoutView="0" workbookViewId="0" topLeftCell="A1">
      <selection activeCell="E33" sqref="E33"/>
    </sheetView>
  </sheetViews>
  <sheetFormatPr defaultColWidth="11.421875" defaultRowHeight="15"/>
  <cols>
    <col min="1" max="1" width="40.28125" style="1" customWidth="1"/>
    <col min="2" max="2" width="11.421875" style="78" customWidth="1"/>
    <col min="3" max="16384" width="11.421875" style="1" customWidth="1"/>
  </cols>
  <sheetData>
    <row r="1" spans="1:4" s="49" customFormat="1" ht="12.75">
      <c r="A1" s="47" t="s">
        <v>62</v>
      </c>
      <c r="B1" s="48"/>
      <c r="C1" s="47"/>
      <c r="D1" s="47"/>
    </row>
    <row r="2" spans="1:5" ht="12.75">
      <c r="A2" s="50"/>
      <c r="B2" s="51"/>
      <c r="C2" s="50"/>
      <c r="D2" s="52" t="s">
        <v>63</v>
      </c>
      <c r="E2" s="2"/>
    </row>
    <row r="3" spans="1:5" ht="25.5" customHeight="1">
      <c r="A3" s="53"/>
      <c r="B3" s="54" t="s">
        <v>64</v>
      </c>
      <c r="C3" s="53" t="s">
        <v>65</v>
      </c>
      <c r="D3" s="53" t="s">
        <v>66</v>
      </c>
      <c r="E3" s="2"/>
    </row>
    <row r="4" spans="1:5" ht="12.75">
      <c r="A4" s="55" t="s">
        <v>48</v>
      </c>
      <c r="B4" s="56">
        <v>19490</v>
      </c>
      <c r="C4" s="57">
        <v>64</v>
      </c>
      <c r="D4" s="58">
        <v>304</v>
      </c>
      <c r="E4" s="2"/>
    </row>
    <row r="5" spans="1:5" ht="12.75">
      <c r="A5" s="59"/>
      <c r="B5" s="60"/>
      <c r="C5" s="61"/>
      <c r="D5" s="61"/>
      <c r="E5" s="2"/>
    </row>
    <row r="6" spans="1:5" ht="12.75">
      <c r="A6" s="59" t="s">
        <v>67</v>
      </c>
      <c r="B6" s="62">
        <v>22010</v>
      </c>
      <c r="C6" s="63">
        <v>72</v>
      </c>
      <c r="D6" s="63">
        <v>306</v>
      </c>
      <c r="E6" s="2"/>
    </row>
    <row r="7" spans="1:5" ht="12.75">
      <c r="A7" s="59" t="s">
        <v>68</v>
      </c>
      <c r="B7" s="64">
        <v>16710</v>
      </c>
      <c r="C7" s="63">
        <v>55</v>
      </c>
      <c r="D7" s="63">
        <v>302</v>
      </c>
      <c r="E7" s="2"/>
    </row>
    <row r="8" spans="1:5" ht="12.75">
      <c r="A8" s="59"/>
      <c r="B8" s="64"/>
      <c r="C8" s="63"/>
      <c r="D8" s="63"/>
      <c r="E8" s="2"/>
    </row>
    <row r="9" spans="1:5" ht="12.75">
      <c r="A9" s="59" t="s">
        <v>69</v>
      </c>
      <c r="B9" s="64">
        <v>6910</v>
      </c>
      <c r="C9" s="63">
        <v>35</v>
      </c>
      <c r="D9" s="63">
        <v>196</v>
      </c>
      <c r="E9" s="2"/>
    </row>
    <row r="10" spans="1:5" ht="12.75">
      <c r="A10" s="59" t="s">
        <v>70</v>
      </c>
      <c r="B10" s="64">
        <v>18240</v>
      </c>
      <c r="C10" s="63">
        <v>59</v>
      </c>
      <c r="D10" s="63">
        <v>311</v>
      </c>
      <c r="E10" s="2"/>
    </row>
    <row r="11" spans="1:5" ht="12.75">
      <c r="A11" s="59" t="s">
        <v>71</v>
      </c>
      <c r="B11" s="64">
        <v>23250</v>
      </c>
      <c r="C11" s="63">
        <v>70</v>
      </c>
      <c r="D11" s="63">
        <v>331</v>
      </c>
      <c r="E11" s="2"/>
    </row>
    <row r="12" spans="1:5" ht="12.75">
      <c r="A12" s="59" t="s">
        <v>72</v>
      </c>
      <c r="B12" s="64">
        <v>24760</v>
      </c>
      <c r="C12" s="63">
        <v>73</v>
      </c>
      <c r="D12" s="63">
        <v>337</v>
      </c>
      <c r="E12" s="2"/>
    </row>
    <row r="13" spans="1:5" ht="12.75">
      <c r="A13" s="59" t="s">
        <v>73</v>
      </c>
      <c r="B13" s="64">
        <v>24400</v>
      </c>
      <c r="C13" s="63">
        <v>77</v>
      </c>
      <c r="D13" s="63">
        <v>315</v>
      </c>
      <c r="E13" s="2"/>
    </row>
    <row r="14" spans="1:5" ht="12.75">
      <c r="A14" s="59"/>
      <c r="B14" s="65"/>
      <c r="C14" s="66"/>
      <c r="D14" s="66"/>
      <c r="E14" s="2"/>
    </row>
    <row r="15" spans="1:5" ht="12.75">
      <c r="A15" s="59" t="s">
        <v>74</v>
      </c>
      <c r="B15" s="64">
        <v>39310</v>
      </c>
      <c r="C15" s="63">
        <v>118</v>
      </c>
      <c r="D15" s="63">
        <v>332</v>
      </c>
      <c r="E15" s="2"/>
    </row>
    <row r="16" spans="1:5" ht="12.75">
      <c r="A16" s="59" t="s">
        <v>53</v>
      </c>
      <c r="B16" s="64">
        <v>22030</v>
      </c>
      <c r="C16" s="63">
        <v>67</v>
      </c>
      <c r="D16" s="63">
        <v>327</v>
      </c>
      <c r="E16" s="2"/>
    </row>
    <row r="17" spans="1:5" ht="12.75">
      <c r="A17" s="59" t="s">
        <v>52</v>
      </c>
      <c r="B17" s="64">
        <v>13230</v>
      </c>
      <c r="C17" s="63">
        <v>46</v>
      </c>
      <c r="D17" s="63">
        <v>288</v>
      </c>
      <c r="E17" s="2"/>
    </row>
    <row r="18" spans="1:5" ht="12.75">
      <c r="A18" s="59" t="s">
        <v>75</v>
      </c>
      <c r="B18" s="64">
        <v>14380</v>
      </c>
      <c r="C18" s="63">
        <v>49</v>
      </c>
      <c r="D18" s="63">
        <v>292</v>
      </c>
      <c r="E18" s="50"/>
    </row>
    <row r="19" spans="1:5" ht="12.75">
      <c r="A19" s="59"/>
      <c r="B19" s="65"/>
      <c r="C19" s="66"/>
      <c r="D19" s="66"/>
      <c r="E19" s="2"/>
    </row>
    <row r="20" spans="1:12" ht="12.75">
      <c r="A20" s="59" t="s">
        <v>76</v>
      </c>
      <c r="B20" s="64">
        <v>23170</v>
      </c>
      <c r="C20" s="63">
        <v>72</v>
      </c>
      <c r="D20" s="63">
        <v>320</v>
      </c>
      <c r="E20" s="50"/>
      <c r="F20" s="67"/>
      <c r="G20" s="67"/>
      <c r="H20" s="67"/>
      <c r="I20" s="67"/>
      <c r="J20" s="67"/>
      <c r="K20" s="67"/>
      <c r="L20" s="67"/>
    </row>
    <row r="21" spans="1:12" ht="12.75">
      <c r="A21" s="59" t="s">
        <v>77</v>
      </c>
      <c r="B21" s="64">
        <v>9960</v>
      </c>
      <c r="C21" s="63">
        <v>38</v>
      </c>
      <c r="D21" s="63">
        <v>263</v>
      </c>
      <c r="E21" s="50"/>
      <c r="F21" s="67"/>
      <c r="G21" s="67"/>
      <c r="H21" s="67"/>
      <c r="I21" s="67"/>
      <c r="J21" s="67"/>
      <c r="K21" s="67"/>
      <c r="L21" s="67"/>
    </row>
    <row r="22" spans="1:12" ht="12.75">
      <c r="A22" s="59"/>
      <c r="B22" s="64"/>
      <c r="C22" s="63"/>
      <c r="D22" s="63"/>
      <c r="E22" s="50"/>
      <c r="F22" s="67"/>
      <c r="G22" s="67"/>
      <c r="H22" s="67"/>
      <c r="I22" s="67"/>
      <c r="J22" s="67"/>
      <c r="K22" s="67"/>
      <c r="L22" s="67"/>
    </row>
    <row r="23" spans="1:12" ht="12.75">
      <c r="A23" s="59" t="s">
        <v>78</v>
      </c>
      <c r="B23" s="64">
        <v>19060</v>
      </c>
      <c r="C23" s="63">
        <v>64</v>
      </c>
      <c r="D23" s="63">
        <v>299</v>
      </c>
      <c r="E23" s="50"/>
      <c r="F23" s="67"/>
      <c r="G23" s="67"/>
      <c r="H23" s="67"/>
      <c r="I23" s="67"/>
      <c r="J23" s="67"/>
      <c r="K23" s="67"/>
      <c r="L23" s="67"/>
    </row>
    <row r="24" spans="1:12" ht="12.75">
      <c r="A24" s="59" t="s">
        <v>79</v>
      </c>
      <c r="B24" s="64">
        <v>25130</v>
      </c>
      <c r="C24" s="63">
        <v>76</v>
      </c>
      <c r="D24" s="63">
        <v>330</v>
      </c>
      <c r="E24" s="50"/>
      <c r="F24" s="67"/>
      <c r="G24" s="67"/>
      <c r="H24" s="67"/>
      <c r="I24" s="67"/>
      <c r="J24" s="67"/>
      <c r="K24" s="67"/>
      <c r="L24" s="67"/>
    </row>
    <row r="25" spans="1:12" ht="12.75">
      <c r="A25" s="59" t="s">
        <v>80</v>
      </c>
      <c r="B25" s="64">
        <v>17210</v>
      </c>
      <c r="C25" s="63">
        <v>53</v>
      </c>
      <c r="D25" s="63">
        <v>323</v>
      </c>
      <c r="E25" s="50"/>
      <c r="F25" s="67"/>
      <c r="G25" s="67"/>
      <c r="H25" s="67"/>
      <c r="I25" s="67"/>
      <c r="J25" s="67"/>
      <c r="K25" s="67"/>
      <c r="L25" s="67"/>
    </row>
    <row r="26" spans="1:12" ht="12.75">
      <c r="A26" s="68" t="s">
        <v>81</v>
      </c>
      <c r="B26" s="69">
        <v>21760</v>
      </c>
      <c r="C26" s="70">
        <v>66</v>
      </c>
      <c r="D26" s="70">
        <v>328</v>
      </c>
      <c r="E26" s="50"/>
      <c r="F26" s="67"/>
      <c r="G26" s="67"/>
      <c r="H26" s="67"/>
      <c r="I26" s="67"/>
      <c r="J26" s="67"/>
      <c r="K26" s="67"/>
      <c r="L26" s="67"/>
    </row>
    <row r="27" spans="1:12" ht="12.75">
      <c r="A27" s="71" t="s">
        <v>82</v>
      </c>
      <c r="B27" s="72"/>
      <c r="C27" s="73"/>
      <c r="D27" s="73"/>
      <c r="E27" s="67"/>
      <c r="F27" s="67"/>
      <c r="G27" s="67"/>
      <c r="H27" s="67"/>
      <c r="I27" s="67"/>
      <c r="J27" s="67"/>
      <c r="K27" s="67"/>
      <c r="L27" s="67"/>
    </row>
    <row r="28" spans="1:12" ht="12.75">
      <c r="A28" s="74" t="s">
        <v>83</v>
      </c>
      <c r="B28" s="75"/>
      <c r="C28" s="67"/>
      <c r="D28" s="67"/>
      <c r="E28" s="67"/>
      <c r="F28" s="67"/>
      <c r="G28" s="67"/>
      <c r="H28" s="67"/>
      <c r="I28" s="67"/>
      <c r="J28" s="67"/>
      <c r="K28" s="67"/>
      <c r="L28" s="67"/>
    </row>
    <row r="29" spans="1:12" ht="12.75">
      <c r="A29" s="76" t="s">
        <v>84</v>
      </c>
      <c r="B29" s="77"/>
      <c r="C29" s="76"/>
      <c r="D29" s="76"/>
      <c r="E29" s="67"/>
      <c r="F29" s="67"/>
      <c r="G29" s="67"/>
      <c r="H29" s="67"/>
      <c r="I29" s="67"/>
      <c r="J29" s="67"/>
      <c r="K29" s="67"/>
      <c r="L29" s="67"/>
    </row>
    <row r="30" spans="5:12" ht="12.75">
      <c r="E30" s="67"/>
      <c r="F30" s="67"/>
      <c r="G30" s="67"/>
      <c r="H30" s="67"/>
      <c r="I30" s="67"/>
      <c r="J30" s="67"/>
      <c r="K30" s="67"/>
      <c r="L30" s="67"/>
    </row>
    <row r="31" spans="1:12" ht="12.75">
      <c r="A31" s="67"/>
      <c r="B31" s="75"/>
      <c r="C31" s="67"/>
      <c r="D31" s="67"/>
      <c r="E31" s="67"/>
      <c r="F31" s="67"/>
      <c r="G31" s="67"/>
      <c r="H31" s="67"/>
      <c r="I31" s="67"/>
      <c r="J31" s="67"/>
      <c r="K31" s="67"/>
      <c r="L31" s="67"/>
    </row>
    <row r="32" spans="1:12" ht="12.75">
      <c r="A32" s="67"/>
      <c r="B32" s="75"/>
      <c r="C32" s="67"/>
      <c r="D32" s="67"/>
      <c r="E32" s="67"/>
      <c r="F32" s="67"/>
      <c r="G32" s="67"/>
      <c r="H32" s="67"/>
      <c r="I32" s="67"/>
      <c r="J32" s="67"/>
      <c r="K32" s="67"/>
      <c r="L32" s="67"/>
    </row>
    <row r="33" spans="1:12" ht="12.75">
      <c r="A33" s="67"/>
      <c r="B33" s="75"/>
      <c r="C33" s="67"/>
      <c r="D33" s="67"/>
      <c r="E33" s="67"/>
      <c r="F33" s="67"/>
      <c r="G33" s="67"/>
      <c r="H33" s="67"/>
      <c r="I33" s="67"/>
      <c r="J33" s="67"/>
      <c r="K33" s="67"/>
      <c r="L33" s="67"/>
    </row>
    <row r="34" spans="1:12" ht="12.75">
      <c r="A34" s="67"/>
      <c r="B34" s="75"/>
      <c r="C34" s="67"/>
      <c r="D34" s="67"/>
      <c r="E34" s="67"/>
      <c r="F34" s="67"/>
      <c r="G34" s="67"/>
      <c r="H34" s="67"/>
      <c r="I34" s="67"/>
      <c r="J34" s="67"/>
      <c r="K34" s="67"/>
      <c r="L34" s="67"/>
    </row>
    <row r="35" spans="1:12" ht="12.75">
      <c r="A35" s="67"/>
      <c r="B35" s="75"/>
      <c r="C35" s="67"/>
      <c r="D35" s="67"/>
      <c r="E35" s="67"/>
      <c r="F35" s="67"/>
      <c r="G35" s="67"/>
      <c r="H35" s="67"/>
      <c r="I35" s="67"/>
      <c r="J35" s="67"/>
      <c r="K35" s="67"/>
      <c r="L35" s="67"/>
    </row>
  </sheetData>
  <sheetProtection/>
  <printOptions/>
  <pageMargins left="0.787401575" right="0.787401575" top="0.984251969" bottom="0.984251969" header="0.4921259845" footer="0.492125984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Elior</dc:creator>
  <cp:keywords/>
  <dc:description/>
  <cp:lastModifiedBy>s</cp:lastModifiedBy>
  <dcterms:created xsi:type="dcterms:W3CDTF">2013-10-10T15:36:09Z</dcterms:created>
  <dcterms:modified xsi:type="dcterms:W3CDTF">2013-11-12T08:54:16Z</dcterms:modified>
  <cp:category/>
  <cp:version/>
  <cp:contentType/>
  <cp:contentStatus/>
</cp:coreProperties>
</file>